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saveExternalLinkValues="0" codeName="ThisWorkbook" defaultThemeVersion="124226"/>
  <mc:AlternateContent xmlns:mc="http://schemas.openxmlformats.org/markup-compatibility/2006">
    <mc:Choice Requires="x15">
      <x15ac:absPath xmlns:x15ac="http://schemas.microsoft.com/office/spreadsheetml/2010/11/ac" url="S:\FIMS Returns\202122\Monthly Finance Returns\M12 March 2022\"/>
    </mc:Choice>
  </mc:AlternateContent>
  <xr:revisionPtr revIDLastSave="0" documentId="13_ncr:1_{4D8235E1-35A9-4706-A397-FD5C9072CE9B}" xr6:coauthVersionLast="47" xr6:coauthVersionMax="47" xr10:uidLastSave="{00000000-0000-0000-0000-000000000000}"/>
  <bookViews>
    <workbookView xWindow="-120" yWindow="-120" windowWidth="29040" windowHeight="15840" tabRatio="816" firstSheet="31" activeTab="42" xr2:uid="{00000000-000D-0000-FFFF-FFFF00000000}"/>
  </bookViews>
  <sheets>
    <sheet name="Guidance" sheetId="63" state="hidden" r:id="rId1"/>
    <sheet name="Settings" sheetId="1" state="hidden" r:id="rId2"/>
    <sheet name="Title" sheetId="4" r:id="rId3"/>
    <sheet name="Foreword (FTs only)" sheetId="2" r:id="rId4"/>
    <sheet name="SOCI" sheetId="6" r:id="rId5"/>
    <sheet name="SoFP" sheetId="7" r:id="rId6"/>
    <sheet name="SoCIE (group)" sheetId="77" r:id="rId7"/>
    <sheet name="SoCIE reserves" sheetId="59" r:id="rId8"/>
    <sheet name="CF" sheetId="10" r:id="rId9"/>
    <sheet name="Acc'g policies 1" sheetId="5" r:id="rId10"/>
    <sheet name="Acc'g policies 2" sheetId="85" r:id="rId11"/>
    <sheet name="Acc'g policies 3" sheetId="67" r:id="rId12"/>
    <sheet name="Acc'g policies 4" sheetId="68" r:id="rId13"/>
    <sheet name="Acc'g policies 5" sheetId="69" r:id="rId14"/>
    <sheet name="Acc'g policies 6" sheetId="70" r:id="rId15"/>
    <sheet name="Acc'g policies 7" sheetId="90" r:id="rId16"/>
    <sheet name="Acc'g policies 8" sheetId="71" r:id="rId17"/>
    <sheet name="Acc'g policies 9" sheetId="89" r:id="rId18"/>
    <sheet name="Operating Segments" sheetId="11" r:id="rId19"/>
    <sheet name="Op Inc" sheetId="12" r:id="rId20"/>
    <sheet name="Op Inc 2" sheetId="87" r:id="rId21"/>
    <sheet name="Op Exp" sheetId="14" r:id="rId22"/>
    <sheet name="Audit &amp; Impair" sheetId="23" r:id="rId23"/>
    <sheet name="Staff" sheetId="15" r:id="rId24"/>
    <sheet name="Pension costs" sheetId="61" r:id="rId25"/>
    <sheet name="Op lease" sheetId="56" r:id="rId26"/>
    <sheet name="Finance &amp; other" sheetId="21" r:id="rId27"/>
    <sheet name="Intangibles (group)" sheetId="78" r:id="rId28"/>
    <sheet name="Intangibles (trust)" sheetId="32" r:id="rId29"/>
    <sheet name="PPE (group)" sheetId="79" r:id="rId30"/>
    <sheet name="PPE 2 (group)" sheetId="80" r:id="rId31"/>
    <sheet name="PPE (trust)" sheetId="26" r:id="rId32"/>
    <sheet name="PPE 2 (trust)" sheetId="54" r:id="rId33"/>
    <sheet name="PPE &amp; Inv Prop" sheetId="60" r:id="rId34"/>
    <sheet name="Inv in assoc &amp; JVs, other inv" sheetId="73" r:id="rId35"/>
    <sheet name="Interests&amp;Inventory" sheetId="35" r:id="rId36"/>
    <sheet name="Receivables" sheetId="36" r:id="rId37"/>
    <sheet name="Receivables 2" sheetId="37" r:id="rId38"/>
    <sheet name="CCE" sheetId="42" r:id="rId39"/>
    <sheet name="Payables" sheetId="43" r:id="rId40"/>
    <sheet name="OL &amp; Borrowings" sheetId="44" r:id="rId41"/>
    <sheet name="Borrowings (group)" sheetId="83" r:id="rId42"/>
    <sheet name="Provisions" sheetId="45" r:id="rId43"/>
    <sheet name="C&amp;O" sheetId="58" r:id="rId44"/>
    <sheet name="FI1" sheetId="62" r:id="rId45"/>
    <sheet name="FI2" sheetId="49" r:id="rId46"/>
    <sheet name="FI3" sheetId="88" r:id="rId47"/>
    <sheet name="L&amp;SP, gifts" sheetId="50" r:id="rId48"/>
    <sheet name="RP, transfers, EARP" sheetId="46" r:id="rId49"/>
    <sheet name="RP, transfers, EARP (2)" sheetId="91" r:id="rId50"/>
    <sheet name="CRL and breakeven duty" sheetId="75" state="hidden" r:id="rId51"/>
    <sheet name="breakeven duty 2" sheetId="76" state="hidden" r:id="rId52"/>
    <sheet name="Staff report tables" sheetId="66" state="hidden" r:id="rId53"/>
  </sheets>
  <definedNames>
    <definedName name="_xlnm._FilterDatabase" localSheetId="1" hidden="1">Settings!$A$38:$F$253</definedName>
    <definedName name="ApprovalDate" comment="Date of approval of financial statements">Settings!$C$26</definedName>
    <definedName name="ComparativeFY">Settings!$C$18</definedName>
    <definedName name="comparativestartyear">Settings!$C$22</definedName>
    <definedName name="ComparativeYear">Settings!$C$21</definedName>
    <definedName name="ComparativeYearEnd">Settings!$C$14</definedName>
    <definedName name="ComparativeYearStart">Settings!$C$15</definedName>
    <definedName name="CurrentFY">Settings!$C$17</definedName>
    <definedName name="CurrentYear">Settings!$C$20</definedName>
    <definedName name="CurrentYearEnd">Settings!$C$12</definedName>
    <definedName name="CurrentYearStart">Settings!$C$13</definedName>
    <definedName name="NextFY">Settings!$C$24</definedName>
    <definedName name="_xlnm.Print_Area" localSheetId="0">Guidance!$A:$B</definedName>
    <definedName name="_xlnm.Print_Area" localSheetId="1">Settings!$B:$C</definedName>
    <definedName name="SelectedFT">Settings!$C$9</definedName>
    <definedName name="Status">Settings!$C$10</definedName>
    <definedName name="Z_EDC1BD6E_863A_4FC6_A3A9_F32079F4F0C1_.wvu.PrintArea" localSheetId="9" hidden="1">'Acc''g policies 1'!$A$3:$B$26</definedName>
    <definedName name="Z_EDC1BD6E_863A_4FC6_A3A9_F32079F4F0C1_.wvu.PrintArea" localSheetId="10" hidden="1">'Acc''g policies 2'!$A$3:$B$48</definedName>
    <definedName name="Z_EDC1BD6E_863A_4FC6_A3A9_F32079F4F0C1_.wvu.PrintArea" localSheetId="11" hidden="1">'Acc''g policies 3'!$A$3:$B$41</definedName>
    <definedName name="Z_EDC1BD6E_863A_4FC6_A3A9_F32079F4F0C1_.wvu.PrintArea" localSheetId="12" hidden="1">'Acc''g policies 4'!$A$7:$D$74</definedName>
    <definedName name="Z_EDC1BD6E_863A_4FC6_A3A9_F32079F4F0C1_.wvu.PrintArea" localSheetId="13" hidden="1">'Acc''g policies 5'!$A$3:$B$40</definedName>
    <definedName name="Z_EDC1BD6E_863A_4FC6_A3A9_F32079F4F0C1_.wvu.PrintArea" localSheetId="14" hidden="1">'Acc''g policies 6'!$A$3:$E$38</definedName>
    <definedName name="Z_EDC1BD6E_863A_4FC6_A3A9_F32079F4F0C1_.wvu.PrintArea" localSheetId="15" hidden="1">'Acc''g policies 7'!$A$3:$E$47</definedName>
    <definedName name="Z_EDC1BD6E_863A_4FC6_A3A9_F32079F4F0C1_.wvu.PrintArea" localSheetId="16" hidden="1">'Acc''g policies 8'!$A$3:$B$43</definedName>
    <definedName name="Z_EDC1BD6E_863A_4FC6_A3A9_F32079F4F0C1_.wvu.PrintArea" localSheetId="17" hidden="1">'Acc''g policies 9'!$A$3:$C$74</definedName>
    <definedName name="Z_EDC1BD6E_863A_4FC6_A3A9_F32079F4F0C1_.wvu.PrintArea" localSheetId="5" hidden="1">SoFP!$B$3:$F$57</definedName>
    <definedName name="Z_EDC1BD6E_863A_4FC6_A3A9_F32079F4F0C1_.wvu.Rows" localSheetId="1" hidden="1">Settings!$37:$187</definedName>
  </definedNames>
  <calcPr calcId="191029"/>
  <customWorkbookViews>
    <customWorkbookView name="ES" guid="{EDC1BD6E-863A-4FC6-A3A9-F32079F4F0C1}" maximized="1" windowWidth="1920" windowHeight="849" tabRatio="895" activeSheetId="2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 i="83" l="1"/>
  <c r="D61" i="87"/>
  <c r="E61" i="87"/>
  <c r="E63" i="87"/>
  <c r="E65" i="87" s="1"/>
  <c r="E64" i="87"/>
  <c r="C36" i="12"/>
  <c r="E36" i="12"/>
  <c r="J61" i="26" l="1"/>
  <c r="I61" i="26"/>
  <c r="H61" i="26"/>
  <c r="F61" i="26"/>
  <c r="C61" i="26"/>
  <c r="J47" i="26"/>
  <c r="I47" i="26"/>
  <c r="H47" i="26"/>
  <c r="F47" i="26"/>
  <c r="D47" i="26"/>
  <c r="C47" i="26"/>
  <c r="D61" i="26"/>
  <c r="G61" i="26"/>
  <c r="G47" i="26"/>
  <c r="G26" i="26"/>
  <c r="J14" i="26"/>
  <c r="I14" i="26"/>
  <c r="H14" i="26"/>
  <c r="G14" i="26"/>
  <c r="F14" i="26"/>
  <c r="D14" i="26"/>
  <c r="C14" i="26"/>
  <c r="J61" i="32"/>
  <c r="I61" i="32"/>
  <c r="H61" i="32"/>
  <c r="F61" i="32"/>
  <c r="C61" i="32"/>
  <c r="J26" i="32"/>
  <c r="I26" i="32"/>
  <c r="H26" i="32"/>
  <c r="F26" i="32"/>
  <c r="C26" i="32"/>
  <c r="J47" i="32"/>
  <c r="I47" i="32"/>
  <c r="H47" i="32"/>
  <c r="F47" i="32"/>
  <c r="C47" i="32"/>
  <c r="J14" i="32"/>
  <c r="I14" i="32"/>
  <c r="H14" i="32"/>
  <c r="F14" i="32"/>
  <c r="C14" i="32"/>
  <c r="I44" i="45"/>
  <c r="H44" i="45"/>
  <c r="G44" i="45"/>
  <c r="F44" i="45"/>
  <c r="E44" i="45"/>
  <c r="D44" i="45"/>
  <c r="C44" i="45"/>
  <c r="H35" i="45"/>
  <c r="B45" i="45"/>
  <c r="B35" i="45"/>
  <c r="B23" i="83"/>
  <c r="B5" i="83"/>
  <c r="B50" i="73"/>
  <c r="B47" i="73"/>
  <c r="G104" i="77"/>
  <c r="A127" i="77"/>
  <c r="A104" i="77"/>
  <c r="A102" i="77"/>
  <c r="A98" i="77"/>
  <c r="A94" i="77"/>
  <c r="A71" i="77"/>
  <c r="A67" i="77"/>
  <c r="I104" i="77" l="1"/>
  <c r="I127" i="77" s="1"/>
  <c r="I71" i="77" s="1"/>
  <c r="I94" i="77" s="1"/>
  <c r="H104" i="77"/>
  <c r="H127" i="77" s="1"/>
  <c r="H71" i="77" s="1"/>
  <c r="H94" i="77" s="1"/>
  <c r="J45" i="45"/>
  <c r="K44" i="45"/>
  <c r="K36" i="45"/>
  <c r="J50" i="45"/>
  <c r="C35" i="88" l="1"/>
  <c r="C34" i="88"/>
  <c r="C33" i="88"/>
  <c r="C32" i="88"/>
  <c r="I49" i="45"/>
  <c r="H49" i="45"/>
  <c r="G49" i="45"/>
  <c r="F49" i="45"/>
  <c r="E49" i="45"/>
  <c r="D49" i="45"/>
  <c r="C49" i="45"/>
  <c r="I48" i="45"/>
  <c r="H48" i="45"/>
  <c r="G48" i="45"/>
  <c r="F48" i="45"/>
  <c r="E48" i="45"/>
  <c r="D48" i="45"/>
  <c r="C48" i="45"/>
  <c r="I47" i="45"/>
  <c r="I50" i="45" s="1"/>
  <c r="H47" i="45"/>
  <c r="H50" i="45" s="1"/>
  <c r="G47" i="45"/>
  <c r="G50" i="45" s="1"/>
  <c r="F47" i="45"/>
  <c r="F50" i="45" s="1"/>
  <c r="E47" i="45"/>
  <c r="D47" i="45"/>
  <c r="D50" i="45" s="1"/>
  <c r="C47" i="45"/>
  <c r="I43" i="45"/>
  <c r="H43" i="45"/>
  <c r="G43" i="45"/>
  <c r="F43" i="45"/>
  <c r="E43" i="45"/>
  <c r="D43" i="45"/>
  <c r="C43" i="45"/>
  <c r="I42" i="45"/>
  <c r="H42" i="45"/>
  <c r="G42" i="45"/>
  <c r="F42" i="45"/>
  <c r="E42" i="45"/>
  <c r="D42" i="45"/>
  <c r="C42" i="45"/>
  <c r="I41" i="45"/>
  <c r="H41" i="45"/>
  <c r="G41" i="45"/>
  <c r="F41" i="45"/>
  <c r="E41" i="45"/>
  <c r="D41" i="45"/>
  <c r="C41" i="45"/>
  <c r="I40" i="45"/>
  <c r="H40" i="45"/>
  <c r="G40" i="45"/>
  <c r="F40" i="45"/>
  <c r="E40" i="45"/>
  <c r="D40" i="45"/>
  <c r="C40" i="45"/>
  <c r="I39" i="45"/>
  <c r="H39" i="45"/>
  <c r="G39" i="45"/>
  <c r="F39" i="45"/>
  <c r="E39" i="45"/>
  <c r="D39" i="45"/>
  <c r="C39" i="45"/>
  <c r="I38" i="45"/>
  <c r="H38" i="45"/>
  <c r="G38" i="45"/>
  <c r="F38" i="45"/>
  <c r="E38" i="45"/>
  <c r="D38" i="45"/>
  <c r="C38" i="45"/>
  <c r="I37" i="45"/>
  <c r="I45" i="45" s="1"/>
  <c r="H37" i="45"/>
  <c r="H45" i="45" s="1"/>
  <c r="G37" i="45"/>
  <c r="F37" i="45"/>
  <c r="E37" i="45"/>
  <c r="D37" i="45"/>
  <c r="D45" i="45" s="1"/>
  <c r="C37" i="45"/>
  <c r="G35" i="45"/>
  <c r="F35" i="45"/>
  <c r="E35" i="45"/>
  <c r="C35" i="45"/>
  <c r="I43" i="44"/>
  <c r="G43" i="44"/>
  <c r="I35" i="44"/>
  <c r="G35" i="44"/>
  <c r="I8" i="44"/>
  <c r="G8" i="44"/>
  <c r="G34" i="43"/>
  <c r="G29" i="43"/>
  <c r="G17" i="43"/>
  <c r="G16" i="43"/>
  <c r="G15" i="43"/>
  <c r="G14" i="43"/>
  <c r="G13" i="43"/>
  <c r="G11" i="43"/>
  <c r="G10" i="43"/>
  <c r="G9" i="43"/>
  <c r="G8" i="43"/>
  <c r="G29" i="42"/>
  <c r="F15" i="37"/>
  <c r="F13" i="37"/>
  <c r="F12" i="37"/>
  <c r="F10" i="37"/>
  <c r="G45" i="36"/>
  <c r="G44" i="36"/>
  <c r="G40" i="36"/>
  <c r="G33" i="36"/>
  <c r="G22" i="36"/>
  <c r="G20" i="36"/>
  <c r="G19" i="36"/>
  <c r="G14" i="36"/>
  <c r="G11" i="36"/>
  <c r="G8" i="36"/>
  <c r="G36" i="35"/>
  <c r="G35" i="35"/>
  <c r="G34" i="35"/>
  <c r="G32" i="35"/>
  <c r="C48" i="73"/>
  <c r="I33" i="58"/>
  <c r="G33" i="58"/>
  <c r="I32" i="58"/>
  <c r="G32" i="58"/>
  <c r="K62" i="32"/>
  <c r="J62" i="32"/>
  <c r="I62" i="32"/>
  <c r="H62" i="32"/>
  <c r="G62" i="32"/>
  <c r="F62" i="32"/>
  <c r="E62" i="32"/>
  <c r="D62" i="32"/>
  <c r="C62" i="32"/>
  <c r="K61" i="32"/>
  <c r="G61" i="32"/>
  <c r="E61" i="32"/>
  <c r="D61" i="32"/>
  <c r="K60" i="32"/>
  <c r="J60" i="32"/>
  <c r="I60" i="32"/>
  <c r="H60" i="32"/>
  <c r="G60" i="32"/>
  <c r="F60" i="32"/>
  <c r="E60" i="32"/>
  <c r="D60" i="32"/>
  <c r="C60" i="32"/>
  <c r="K59" i="32"/>
  <c r="J59" i="32"/>
  <c r="I59" i="32"/>
  <c r="H59" i="32"/>
  <c r="G59" i="32"/>
  <c r="F59" i="32"/>
  <c r="E59" i="32"/>
  <c r="D59" i="32"/>
  <c r="C59" i="32"/>
  <c r="K58" i="32"/>
  <c r="J58" i="32"/>
  <c r="I58" i="32"/>
  <c r="H58" i="32"/>
  <c r="G58" i="32"/>
  <c r="F58" i="32"/>
  <c r="E58" i="32"/>
  <c r="D58" i="32"/>
  <c r="C58" i="32"/>
  <c r="K57" i="32"/>
  <c r="J57" i="32"/>
  <c r="I57" i="32"/>
  <c r="H57" i="32"/>
  <c r="G57" i="32"/>
  <c r="F57" i="32"/>
  <c r="E57" i="32"/>
  <c r="D57" i="32"/>
  <c r="C57" i="32"/>
  <c r="K56" i="32"/>
  <c r="J56" i="32"/>
  <c r="I56" i="32"/>
  <c r="H56" i="32"/>
  <c r="G56" i="32"/>
  <c r="F56" i="32"/>
  <c r="E56" i="32"/>
  <c r="D56" i="32"/>
  <c r="C56" i="32"/>
  <c r="K55" i="32"/>
  <c r="J55" i="32"/>
  <c r="I55" i="32"/>
  <c r="H55" i="32"/>
  <c r="G55" i="32"/>
  <c r="F55" i="32"/>
  <c r="E55" i="32"/>
  <c r="D55" i="32"/>
  <c r="C55" i="32"/>
  <c r="K52" i="32"/>
  <c r="J52" i="32"/>
  <c r="I52" i="32"/>
  <c r="H52" i="32"/>
  <c r="G52" i="32"/>
  <c r="F52" i="32"/>
  <c r="E52" i="32"/>
  <c r="D52" i="32"/>
  <c r="C52" i="32"/>
  <c r="K51" i="32"/>
  <c r="J51" i="32"/>
  <c r="I51" i="32"/>
  <c r="H51" i="32"/>
  <c r="G51" i="32"/>
  <c r="F51" i="32"/>
  <c r="E51" i="32"/>
  <c r="D51" i="32"/>
  <c r="C51" i="32"/>
  <c r="K48" i="32"/>
  <c r="J48" i="32"/>
  <c r="I48" i="32"/>
  <c r="H48" i="32"/>
  <c r="G48" i="32"/>
  <c r="F48" i="32"/>
  <c r="E48" i="32"/>
  <c r="D48" i="32"/>
  <c r="C48" i="32"/>
  <c r="K47" i="32"/>
  <c r="G47" i="32"/>
  <c r="E47" i="32"/>
  <c r="D47" i="32"/>
  <c r="K46" i="32"/>
  <c r="J46" i="32"/>
  <c r="I46" i="32"/>
  <c r="H46" i="32"/>
  <c r="G46" i="32"/>
  <c r="F46" i="32"/>
  <c r="E46" i="32"/>
  <c r="D46" i="32"/>
  <c r="C46" i="32"/>
  <c r="K45" i="32"/>
  <c r="J45" i="32"/>
  <c r="I45" i="32"/>
  <c r="H45" i="32"/>
  <c r="G45" i="32"/>
  <c r="F45" i="32"/>
  <c r="E45" i="32"/>
  <c r="D45" i="32"/>
  <c r="C45" i="32"/>
  <c r="K44" i="32"/>
  <c r="J44" i="32"/>
  <c r="I44" i="32"/>
  <c r="H44" i="32"/>
  <c r="G44" i="32"/>
  <c r="F44" i="32"/>
  <c r="E44" i="32"/>
  <c r="D44" i="32"/>
  <c r="C44" i="32"/>
  <c r="K43" i="32"/>
  <c r="J43" i="32"/>
  <c r="I43" i="32"/>
  <c r="G43" i="32"/>
  <c r="F43" i="32"/>
  <c r="E43" i="32"/>
  <c r="D43" i="32"/>
  <c r="C43" i="32"/>
  <c r="K42" i="32"/>
  <c r="J42" i="32"/>
  <c r="I42" i="32"/>
  <c r="G42" i="32"/>
  <c r="F42" i="32"/>
  <c r="E42" i="32"/>
  <c r="D42" i="32"/>
  <c r="C42" i="32"/>
  <c r="K41" i="32"/>
  <c r="J41" i="32"/>
  <c r="I41" i="32"/>
  <c r="H41" i="32"/>
  <c r="G41" i="32"/>
  <c r="F41" i="32"/>
  <c r="E41" i="32"/>
  <c r="D41" i="32"/>
  <c r="C41" i="32"/>
  <c r="K38" i="32"/>
  <c r="J38" i="32"/>
  <c r="I38" i="32"/>
  <c r="H38" i="32"/>
  <c r="G38" i="32"/>
  <c r="F38" i="32"/>
  <c r="E38" i="32"/>
  <c r="D38" i="32"/>
  <c r="C38" i="32"/>
  <c r="K37" i="32"/>
  <c r="J37" i="32"/>
  <c r="I37" i="32"/>
  <c r="H37" i="32"/>
  <c r="G37" i="32"/>
  <c r="F37" i="32"/>
  <c r="E37" i="32"/>
  <c r="D37" i="32"/>
  <c r="C37" i="32"/>
  <c r="K27" i="32"/>
  <c r="J27" i="32"/>
  <c r="I27" i="32"/>
  <c r="H27" i="32"/>
  <c r="G27" i="32"/>
  <c r="F27" i="32"/>
  <c r="E27" i="32"/>
  <c r="D27" i="32"/>
  <c r="C27" i="32"/>
  <c r="K26" i="32"/>
  <c r="G26" i="32"/>
  <c r="E26" i="32"/>
  <c r="D26" i="32"/>
  <c r="K25" i="32"/>
  <c r="J25" i="32"/>
  <c r="I25" i="32"/>
  <c r="H25" i="32"/>
  <c r="G25" i="32"/>
  <c r="F25" i="32"/>
  <c r="E25" i="32"/>
  <c r="D25" i="32"/>
  <c r="C25" i="32"/>
  <c r="K24" i="32"/>
  <c r="J24" i="32"/>
  <c r="I24" i="32"/>
  <c r="H24" i="32"/>
  <c r="G24" i="32"/>
  <c r="F24" i="32"/>
  <c r="E24" i="32"/>
  <c r="D24" i="32"/>
  <c r="C24" i="32"/>
  <c r="K23" i="32"/>
  <c r="J23" i="32"/>
  <c r="I23" i="32"/>
  <c r="H23" i="32"/>
  <c r="G23" i="32"/>
  <c r="F23" i="32"/>
  <c r="E23" i="32"/>
  <c r="D23" i="32"/>
  <c r="C23" i="32"/>
  <c r="K22" i="32"/>
  <c r="J22" i="32"/>
  <c r="I22" i="32"/>
  <c r="H22" i="32"/>
  <c r="G22" i="32"/>
  <c r="F22" i="32"/>
  <c r="E22" i="32"/>
  <c r="D22" i="32"/>
  <c r="C22" i="32"/>
  <c r="K21" i="32"/>
  <c r="J21" i="32"/>
  <c r="I21" i="32"/>
  <c r="H21" i="32"/>
  <c r="G21" i="32"/>
  <c r="F21" i="32"/>
  <c r="E21" i="32"/>
  <c r="D21" i="32"/>
  <c r="C21" i="32"/>
  <c r="K20" i="32"/>
  <c r="J20" i="32"/>
  <c r="I20" i="32"/>
  <c r="H20" i="32"/>
  <c r="G20" i="32"/>
  <c r="F20" i="32"/>
  <c r="E20" i="32"/>
  <c r="D20" i="32"/>
  <c r="C20" i="32"/>
  <c r="K19" i="32"/>
  <c r="J19" i="32"/>
  <c r="I19" i="32"/>
  <c r="H19" i="32"/>
  <c r="G19" i="32"/>
  <c r="F19" i="32"/>
  <c r="E19" i="32"/>
  <c r="D19" i="32"/>
  <c r="C19" i="32"/>
  <c r="K15" i="32"/>
  <c r="J15" i="32"/>
  <c r="I15" i="32"/>
  <c r="H15" i="32"/>
  <c r="G15" i="32"/>
  <c r="F15" i="32"/>
  <c r="E15" i="32"/>
  <c r="D15" i="32"/>
  <c r="C15" i="32"/>
  <c r="K14" i="32"/>
  <c r="G14" i="32"/>
  <c r="E14" i="32"/>
  <c r="D14" i="32"/>
  <c r="K13" i="32"/>
  <c r="J13" i="32"/>
  <c r="I13" i="32"/>
  <c r="H13" i="32"/>
  <c r="G13" i="32"/>
  <c r="F13" i="32"/>
  <c r="E13" i="32"/>
  <c r="D13" i="32"/>
  <c r="C13" i="32"/>
  <c r="K12" i="32"/>
  <c r="J12" i="32"/>
  <c r="I12" i="32"/>
  <c r="H12" i="32"/>
  <c r="G12" i="32"/>
  <c r="F12" i="32"/>
  <c r="E12" i="32"/>
  <c r="D12" i="32"/>
  <c r="C12" i="32"/>
  <c r="K11" i="32"/>
  <c r="J11" i="32"/>
  <c r="I11" i="32"/>
  <c r="H11" i="32"/>
  <c r="G11" i="32"/>
  <c r="F11" i="32"/>
  <c r="E11" i="32"/>
  <c r="D11" i="32"/>
  <c r="C11" i="32"/>
  <c r="K10" i="32"/>
  <c r="J10" i="32"/>
  <c r="I10" i="32"/>
  <c r="H10" i="32"/>
  <c r="G10" i="32"/>
  <c r="F10" i="32"/>
  <c r="E10" i="32"/>
  <c r="D10" i="32"/>
  <c r="C10" i="32"/>
  <c r="K9" i="32"/>
  <c r="J9" i="32"/>
  <c r="I9" i="32"/>
  <c r="H9" i="32"/>
  <c r="G9" i="32"/>
  <c r="F9" i="32"/>
  <c r="E9" i="32"/>
  <c r="D9" i="32"/>
  <c r="C9" i="32"/>
  <c r="K8" i="32"/>
  <c r="J8" i="32"/>
  <c r="I8" i="32"/>
  <c r="H8" i="32"/>
  <c r="G8" i="32"/>
  <c r="F8" i="32"/>
  <c r="E8" i="32"/>
  <c r="D8" i="32"/>
  <c r="C8" i="32"/>
  <c r="K7" i="32"/>
  <c r="J7" i="32"/>
  <c r="I7" i="32"/>
  <c r="H7" i="32"/>
  <c r="G7" i="32"/>
  <c r="F7" i="32"/>
  <c r="E7" i="32"/>
  <c r="D7" i="32"/>
  <c r="C7" i="32"/>
  <c r="J23" i="54"/>
  <c r="I23" i="54"/>
  <c r="H23" i="54"/>
  <c r="G23" i="54"/>
  <c r="F23" i="54"/>
  <c r="E23" i="54"/>
  <c r="D23" i="54"/>
  <c r="C23" i="54"/>
  <c r="J22" i="54"/>
  <c r="I22" i="54"/>
  <c r="H22" i="54"/>
  <c r="G22" i="54"/>
  <c r="F22" i="54"/>
  <c r="E22" i="54"/>
  <c r="D22" i="54"/>
  <c r="C22" i="54"/>
  <c r="J21" i="54"/>
  <c r="I21" i="54"/>
  <c r="H21" i="54"/>
  <c r="G21" i="54"/>
  <c r="F21" i="54"/>
  <c r="E21" i="54"/>
  <c r="D21" i="54"/>
  <c r="C21" i="54"/>
  <c r="J20" i="54"/>
  <c r="I20" i="54"/>
  <c r="H20" i="54"/>
  <c r="G20" i="54"/>
  <c r="F20" i="54"/>
  <c r="E20" i="54"/>
  <c r="D20" i="54"/>
  <c r="C20" i="54"/>
  <c r="J19" i="54"/>
  <c r="I19" i="54"/>
  <c r="H19" i="54"/>
  <c r="G19" i="54"/>
  <c r="F19" i="54"/>
  <c r="E19" i="54"/>
  <c r="D19" i="54"/>
  <c r="C19" i="54"/>
  <c r="J11" i="54"/>
  <c r="I11" i="54"/>
  <c r="H11" i="54"/>
  <c r="G11" i="54"/>
  <c r="F11" i="54"/>
  <c r="E11" i="54"/>
  <c r="D11" i="54"/>
  <c r="C11" i="54"/>
  <c r="J10" i="54"/>
  <c r="I10" i="54"/>
  <c r="H10" i="54"/>
  <c r="G10" i="54"/>
  <c r="F10" i="54"/>
  <c r="E10" i="54"/>
  <c r="D10" i="54"/>
  <c r="C10" i="54"/>
  <c r="J9" i="54"/>
  <c r="I9" i="54"/>
  <c r="H9" i="54"/>
  <c r="G9" i="54"/>
  <c r="F9" i="54"/>
  <c r="E9" i="54"/>
  <c r="D9" i="54"/>
  <c r="C9" i="54"/>
  <c r="J8" i="54"/>
  <c r="I8" i="54"/>
  <c r="H8" i="54"/>
  <c r="G8" i="54"/>
  <c r="F8" i="54"/>
  <c r="E8" i="54"/>
  <c r="D8" i="54"/>
  <c r="C8" i="54"/>
  <c r="J7" i="54"/>
  <c r="I7" i="54"/>
  <c r="H7" i="54"/>
  <c r="G7" i="54"/>
  <c r="F7" i="54"/>
  <c r="E7" i="54"/>
  <c r="D7" i="54"/>
  <c r="C7" i="54"/>
  <c r="J62" i="26"/>
  <c r="I62" i="26"/>
  <c r="H62" i="26"/>
  <c r="G62" i="26"/>
  <c r="F62" i="26"/>
  <c r="E62" i="26"/>
  <c r="D62" i="26"/>
  <c r="C62" i="26"/>
  <c r="E61" i="26"/>
  <c r="J60" i="26"/>
  <c r="I60" i="26"/>
  <c r="H60" i="26"/>
  <c r="G60" i="26"/>
  <c r="F60" i="26"/>
  <c r="E60" i="26"/>
  <c r="D60" i="26"/>
  <c r="C60" i="26"/>
  <c r="J59" i="26"/>
  <c r="I59" i="26"/>
  <c r="H59" i="26"/>
  <c r="G59" i="26"/>
  <c r="F59" i="26"/>
  <c r="E59" i="26"/>
  <c r="D59" i="26"/>
  <c r="C59" i="26"/>
  <c r="J58" i="26"/>
  <c r="I58" i="26"/>
  <c r="H58" i="26"/>
  <c r="G58" i="26"/>
  <c r="F58" i="26"/>
  <c r="E58" i="26"/>
  <c r="D58" i="26"/>
  <c r="C58" i="26"/>
  <c r="J57" i="26"/>
  <c r="I57" i="26"/>
  <c r="H57" i="26"/>
  <c r="G57" i="26"/>
  <c r="F57" i="26"/>
  <c r="E57" i="26"/>
  <c r="D57" i="26"/>
  <c r="C57" i="26"/>
  <c r="J56" i="26"/>
  <c r="I56" i="26"/>
  <c r="H56" i="26"/>
  <c r="G56" i="26"/>
  <c r="F56" i="26"/>
  <c r="E56" i="26"/>
  <c r="D56" i="26"/>
  <c r="C56" i="26"/>
  <c r="J55" i="26"/>
  <c r="I55" i="26"/>
  <c r="H55" i="26"/>
  <c r="G55" i="26"/>
  <c r="F55" i="26"/>
  <c r="E55" i="26"/>
  <c r="D55" i="26"/>
  <c r="C55" i="26"/>
  <c r="J52" i="26"/>
  <c r="I52" i="26"/>
  <c r="H52" i="26"/>
  <c r="G52" i="26"/>
  <c r="F52" i="26"/>
  <c r="E52" i="26"/>
  <c r="D52" i="26"/>
  <c r="C52" i="26"/>
  <c r="J51" i="26"/>
  <c r="I51" i="26"/>
  <c r="H51" i="26"/>
  <c r="G51" i="26"/>
  <c r="F51" i="26"/>
  <c r="E51" i="26"/>
  <c r="D51" i="26"/>
  <c r="C51" i="26"/>
  <c r="J48" i="26"/>
  <c r="I48" i="26"/>
  <c r="H48" i="26"/>
  <c r="G48" i="26"/>
  <c r="F48" i="26"/>
  <c r="E48" i="26"/>
  <c r="D48" i="26"/>
  <c r="C48" i="26"/>
  <c r="E47" i="26"/>
  <c r="J46" i="26"/>
  <c r="I46" i="26"/>
  <c r="H46" i="26"/>
  <c r="G46" i="26"/>
  <c r="F46" i="26"/>
  <c r="E46" i="26"/>
  <c r="D46" i="26"/>
  <c r="C46" i="26"/>
  <c r="J45" i="26"/>
  <c r="I45" i="26"/>
  <c r="H45" i="26"/>
  <c r="G45" i="26"/>
  <c r="F45" i="26"/>
  <c r="E45" i="26"/>
  <c r="D45" i="26"/>
  <c r="C45" i="26"/>
  <c r="J44" i="26"/>
  <c r="I44" i="26"/>
  <c r="H44" i="26"/>
  <c r="G44" i="26"/>
  <c r="F44" i="26"/>
  <c r="E44" i="26"/>
  <c r="D44" i="26"/>
  <c r="C44" i="26"/>
  <c r="J43" i="26"/>
  <c r="I43" i="26"/>
  <c r="H43" i="26"/>
  <c r="G43" i="26"/>
  <c r="F43" i="26"/>
  <c r="E43" i="26"/>
  <c r="D43" i="26"/>
  <c r="C43" i="26"/>
  <c r="J42" i="26"/>
  <c r="I42" i="26"/>
  <c r="H42" i="26"/>
  <c r="G42" i="26"/>
  <c r="F42" i="26"/>
  <c r="E42" i="26"/>
  <c r="D42" i="26"/>
  <c r="C42" i="26"/>
  <c r="J41" i="26"/>
  <c r="I41" i="26"/>
  <c r="H41" i="26"/>
  <c r="G41" i="26"/>
  <c r="F41" i="26"/>
  <c r="E41" i="26"/>
  <c r="D41" i="26"/>
  <c r="C41" i="26"/>
  <c r="J38" i="26"/>
  <c r="I38" i="26"/>
  <c r="H38" i="26"/>
  <c r="G38" i="26"/>
  <c r="F38" i="26"/>
  <c r="E38" i="26"/>
  <c r="D38" i="26"/>
  <c r="C38" i="26"/>
  <c r="J37" i="26"/>
  <c r="I37" i="26"/>
  <c r="H37" i="26"/>
  <c r="G37" i="26"/>
  <c r="F37" i="26"/>
  <c r="E37" i="26"/>
  <c r="D37" i="26"/>
  <c r="C37" i="26"/>
  <c r="J27" i="26"/>
  <c r="I27" i="26"/>
  <c r="H27" i="26"/>
  <c r="G27" i="26"/>
  <c r="F27" i="26"/>
  <c r="E27" i="26"/>
  <c r="D27" i="26"/>
  <c r="C27" i="26"/>
  <c r="J26" i="26"/>
  <c r="I26" i="26"/>
  <c r="H26" i="26"/>
  <c r="F26" i="26"/>
  <c r="E26" i="26"/>
  <c r="D26" i="26"/>
  <c r="C26" i="26"/>
  <c r="J25" i="26"/>
  <c r="I25" i="26"/>
  <c r="H25" i="26"/>
  <c r="G25" i="26"/>
  <c r="F25" i="26"/>
  <c r="E25" i="26"/>
  <c r="D25" i="26"/>
  <c r="C25" i="26"/>
  <c r="J24" i="26"/>
  <c r="I24" i="26"/>
  <c r="H24" i="26"/>
  <c r="G24" i="26"/>
  <c r="F24" i="26"/>
  <c r="E24" i="26"/>
  <c r="D24" i="26"/>
  <c r="C24" i="26"/>
  <c r="J23" i="26"/>
  <c r="I23" i="26"/>
  <c r="H23" i="26"/>
  <c r="G23" i="26"/>
  <c r="F23" i="26"/>
  <c r="E23" i="26"/>
  <c r="D23" i="26"/>
  <c r="C23" i="26"/>
  <c r="J22" i="26"/>
  <c r="I22" i="26"/>
  <c r="H22" i="26"/>
  <c r="G22" i="26"/>
  <c r="F22" i="26"/>
  <c r="E22" i="26"/>
  <c r="D22" i="26"/>
  <c r="C22" i="26"/>
  <c r="J21" i="26"/>
  <c r="I21" i="26"/>
  <c r="H21" i="26"/>
  <c r="G21" i="26"/>
  <c r="F21" i="26"/>
  <c r="E21" i="26"/>
  <c r="D21" i="26"/>
  <c r="C21" i="26"/>
  <c r="J20" i="26"/>
  <c r="I20" i="26"/>
  <c r="H20" i="26"/>
  <c r="G20" i="26"/>
  <c r="F20" i="26"/>
  <c r="E20" i="26"/>
  <c r="D20" i="26"/>
  <c r="C20" i="26"/>
  <c r="J19" i="26"/>
  <c r="I19" i="26"/>
  <c r="H19" i="26"/>
  <c r="G19" i="26"/>
  <c r="F19" i="26"/>
  <c r="E19" i="26"/>
  <c r="D19" i="26"/>
  <c r="C19" i="26"/>
  <c r="J15" i="26"/>
  <c r="I15" i="26"/>
  <c r="H15" i="26"/>
  <c r="G15" i="26"/>
  <c r="F15" i="26"/>
  <c r="E15" i="26"/>
  <c r="D15" i="26"/>
  <c r="C15" i="26"/>
  <c r="E14" i="26"/>
  <c r="J13" i="26"/>
  <c r="I13" i="26"/>
  <c r="H13" i="26"/>
  <c r="G13" i="26"/>
  <c r="F13" i="26"/>
  <c r="E13" i="26"/>
  <c r="D13" i="26"/>
  <c r="C13" i="26"/>
  <c r="J12" i="26"/>
  <c r="I12" i="26"/>
  <c r="H12" i="26"/>
  <c r="G12" i="26"/>
  <c r="F12" i="26"/>
  <c r="E12" i="26"/>
  <c r="D12" i="26"/>
  <c r="C12" i="26"/>
  <c r="J11" i="26"/>
  <c r="I11" i="26"/>
  <c r="H11" i="26"/>
  <c r="G11" i="26"/>
  <c r="F11" i="26"/>
  <c r="E11" i="26"/>
  <c r="D11" i="26"/>
  <c r="C11" i="26"/>
  <c r="J10" i="26"/>
  <c r="I10" i="26"/>
  <c r="H10" i="26"/>
  <c r="G10" i="26"/>
  <c r="F10" i="26"/>
  <c r="E10" i="26"/>
  <c r="D10" i="26"/>
  <c r="C10" i="26"/>
  <c r="J9" i="26"/>
  <c r="I9" i="26"/>
  <c r="H9" i="26"/>
  <c r="G9" i="26"/>
  <c r="F9" i="26"/>
  <c r="E9" i="26"/>
  <c r="D9" i="26"/>
  <c r="C9" i="26"/>
  <c r="J8" i="26"/>
  <c r="I8" i="26"/>
  <c r="H8" i="26"/>
  <c r="G8" i="26"/>
  <c r="F8" i="26"/>
  <c r="E8" i="26"/>
  <c r="D8" i="26"/>
  <c r="C8" i="26"/>
  <c r="J7" i="26"/>
  <c r="I7" i="26"/>
  <c r="H7" i="26"/>
  <c r="G7" i="26"/>
  <c r="F7" i="26"/>
  <c r="E7" i="26"/>
  <c r="D7" i="26"/>
  <c r="C7" i="26"/>
  <c r="G126" i="77"/>
  <c r="F126" i="77"/>
  <c r="E126" i="77"/>
  <c r="D126" i="77"/>
  <c r="C126" i="77"/>
  <c r="B126" i="77"/>
  <c r="G125" i="77"/>
  <c r="F125" i="77"/>
  <c r="E125" i="77"/>
  <c r="D125" i="77"/>
  <c r="C125" i="77"/>
  <c r="B125" i="77"/>
  <c r="G124" i="77"/>
  <c r="F124" i="77"/>
  <c r="E124" i="77"/>
  <c r="D124" i="77"/>
  <c r="C124" i="77"/>
  <c r="B124" i="77"/>
  <c r="G123" i="77"/>
  <c r="F123" i="77"/>
  <c r="E123" i="77"/>
  <c r="D123" i="77"/>
  <c r="C123" i="77"/>
  <c r="B123" i="77"/>
  <c r="G122" i="77"/>
  <c r="F122" i="77"/>
  <c r="E122" i="77"/>
  <c r="D122" i="77"/>
  <c r="C122" i="77"/>
  <c r="B122" i="77"/>
  <c r="G121" i="77"/>
  <c r="F121" i="77"/>
  <c r="E121" i="77"/>
  <c r="D121" i="77"/>
  <c r="C121" i="77"/>
  <c r="B121" i="77"/>
  <c r="G120" i="77"/>
  <c r="F120" i="77"/>
  <c r="E120" i="77"/>
  <c r="D120" i="77"/>
  <c r="C120" i="77"/>
  <c r="B120" i="77"/>
  <c r="G119" i="77"/>
  <c r="F119" i="77"/>
  <c r="E119" i="77"/>
  <c r="D119" i="77"/>
  <c r="C119" i="77"/>
  <c r="B119" i="77"/>
  <c r="G118" i="77"/>
  <c r="F118" i="77"/>
  <c r="E118" i="77"/>
  <c r="D118" i="77"/>
  <c r="C118" i="77"/>
  <c r="B118" i="77"/>
  <c r="G117" i="77"/>
  <c r="F117" i="77"/>
  <c r="E117" i="77"/>
  <c r="D117" i="77"/>
  <c r="C117" i="77"/>
  <c r="B117" i="77"/>
  <c r="G116" i="77"/>
  <c r="F116" i="77"/>
  <c r="E116" i="77"/>
  <c r="D116" i="77"/>
  <c r="C116" i="77"/>
  <c r="B116" i="77"/>
  <c r="G115" i="77"/>
  <c r="F115" i="77"/>
  <c r="E115" i="77"/>
  <c r="D115" i="77"/>
  <c r="C115" i="77"/>
  <c r="B115" i="77"/>
  <c r="G114" i="77"/>
  <c r="F114" i="77"/>
  <c r="E114" i="77"/>
  <c r="D114" i="77"/>
  <c r="C114" i="77"/>
  <c r="B114" i="77"/>
  <c r="G113" i="77"/>
  <c r="F113" i="77"/>
  <c r="E113" i="77"/>
  <c r="D113" i="77"/>
  <c r="C113" i="77"/>
  <c r="B113" i="77"/>
  <c r="G112" i="77"/>
  <c r="F112" i="77"/>
  <c r="E112" i="77"/>
  <c r="D112" i="77"/>
  <c r="C112" i="77"/>
  <c r="B112" i="77"/>
  <c r="G111" i="77"/>
  <c r="F111" i="77"/>
  <c r="E111" i="77"/>
  <c r="D111" i="77"/>
  <c r="C111" i="77"/>
  <c r="B111" i="77"/>
  <c r="G110" i="77"/>
  <c r="F110" i="77"/>
  <c r="E110" i="77"/>
  <c r="D110" i="77"/>
  <c r="C110" i="77"/>
  <c r="B110" i="77"/>
  <c r="G109" i="77"/>
  <c r="F109" i="77"/>
  <c r="E109" i="77"/>
  <c r="D109" i="77"/>
  <c r="C109" i="77"/>
  <c r="B109" i="77"/>
  <c r="G108" i="77"/>
  <c r="F108" i="77"/>
  <c r="E108" i="77"/>
  <c r="D108" i="77"/>
  <c r="C108" i="77"/>
  <c r="B108" i="77"/>
  <c r="G107" i="77"/>
  <c r="F107" i="77"/>
  <c r="E107" i="77"/>
  <c r="D107" i="77"/>
  <c r="C107" i="77"/>
  <c r="B107" i="77"/>
  <c r="F106" i="77"/>
  <c r="E106" i="77"/>
  <c r="D106" i="77"/>
  <c r="C106" i="77"/>
  <c r="B106" i="77"/>
  <c r="G105" i="77"/>
  <c r="G127" i="77" s="1"/>
  <c r="F105" i="77"/>
  <c r="E105" i="77"/>
  <c r="D105" i="77"/>
  <c r="C105" i="77"/>
  <c r="B105" i="77"/>
  <c r="G103" i="77"/>
  <c r="F103" i="77"/>
  <c r="E103" i="77"/>
  <c r="D103" i="77"/>
  <c r="C103" i="77"/>
  <c r="F102" i="77"/>
  <c r="E102" i="77"/>
  <c r="D102" i="77"/>
  <c r="C102" i="77"/>
  <c r="B102" i="77"/>
  <c r="G93" i="77"/>
  <c r="F93" i="77"/>
  <c r="E93" i="77"/>
  <c r="D93" i="77"/>
  <c r="C93" i="77"/>
  <c r="B93" i="77"/>
  <c r="G92" i="77"/>
  <c r="F92" i="77"/>
  <c r="E92" i="77"/>
  <c r="D92" i="77"/>
  <c r="C92" i="77"/>
  <c r="B92" i="77"/>
  <c r="G91" i="77"/>
  <c r="F91" i="77"/>
  <c r="E91" i="77"/>
  <c r="D91" i="77"/>
  <c r="C91" i="77"/>
  <c r="B91" i="77"/>
  <c r="G90" i="77"/>
  <c r="F90" i="77"/>
  <c r="E90" i="77"/>
  <c r="D90" i="77"/>
  <c r="C90" i="77"/>
  <c r="B90" i="77"/>
  <c r="G89" i="77"/>
  <c r="F89" i="77"/>
  <c r="E89" i="77"/>
  <c r="D89" i="77"/>
  <c r="C89" i="77"/>
  <c r="B89" i="77"/>
  <c r="G88" i="77"/>
  <c r="F88" i="77"/>
  <c r="E88" i="77"/>
  <c r="D88" i="77"/>
  <c r="C88" i="77"/>
  <c r="B88" i="77"/>
  <c r="G87" i="77"/>
  <c r="F87" i="77"/>
  <c r="E87" i="77"/>
  <c r="D87" i="77"/>
  <c r="C87" i="77"/>
  <c r="B87" i="77"/>
  <c r="G86" i="77"/>
  <c r="F86" i="77"/>
  <c r="E86" i="77"/>
  <c r="D86" i="77"/>
  <c r="C86" i="77"/>
  <c r="B86" i="77"/>
  <c r="G85" i="77"/>
  <c r="F85" i="77"/>
  <c r="E85" i="77"/>
  <c r="D85" i="77"/>
  <c r="C85" i="77"/>
  <c r="B85" i="77"/>
  <c r="G84" i="77"/>
  <c r="F84" i="77"/>
  <c r="E84" i="77"/>
  <c r="D84" i="77"/>
  <c r="C84" i="77"/>
  <c r="B84" i="77"/>
  <c r="G83" i="77"/>
  <c r="F83" i="77"/>
  <c r="E83" i="77"/>
  <c r="D83" i="77"/>
  <c r="C83" i="77"/>
  <c r="B83" i="77"/>
  <c r="G82" i="77"/>
  <c r="F82" i="77"/>
  <c r="E82" i="77"/>
  <c r="D82" i="77"/>
  <c r="C82" i="77"/>
  <c r="B82" i="77"/>
  <c r="G81" i="77"/>
  <c r="F81" i="77"/>
  <c r="E81" i="77"/>
  <c r="D81" i="77"/>
  <c r="C81" i="77"/>
  <c r="B81" i="77"/>
  <c r="G80" i="77"/>
  <c r="F80" i="77"/>
  <c r="E80" i="77"/>
  <c r="D80" i="77"/>
  <c r="C80" i="77"/>
  <c r="B80" i="77"/>
  <c r="G79" i="77"/>
  <c r="F79" i="77"/>
  <c r="E79" i="77"/>
  <c r="D79" i="77"/>
  <c r="C79" i="77"/>
  <c r="B79" i="77"/>
  <c r="G78" i="77"/>
  <c r="F78" i="77"/>
  <c r="E78" i="77"/>
  <c r="D78" i="77"/>
  <c r="C78" i="77"/>
  <c r="B78" i="77"/>
  <c r="G77" i="77"/>
  <c r="F77" i="77"/>
  <c r="E77" i="77"/>
  <c r="D77" i="77"/>
  <c r="C77" i="77"/>
  <c r="B77" i="77"/>
  <c r="G76" i="77"/>
  <c r="F76" i="77"/>
  <c r="E76" i="77"/>
  <c r="D76" i="77"/>
  <c r="C76" i="77"/>
  <c r="B76" i="77"/>
  <c r="G75" i="77"/>
  <c r="F75" i="77"/>
  <c r="E75" i="77"/>
  <c r="D75" i="77"/>
  <c r="C75" i="77"/>
  <c r="B75" i="77"/>
  <c r="G74" i="77"/>
  <c r="F74" i="77"/>
  <c r="E74" i="77"/>
  <c r="D74" i="77"/>
  <c r="C74" i="77"/>
  <c r="B74" i="77"/>
  <c r="F73" i="77"/>
  <c r="E73" i="77"/>
  <c r="D73" i="77"/>
  <c r="C73" i="77"/>
  <c r="B73" i="77"/>
  <c r="G72" i="77"/>
  <c r="G94" i="77" s="1"/>
  <c r="F72" i="77"/>
  <c r="E72" i="77"/>
  <c r="D72" i="77"/>
  <c r="C72" i="77"/>
  <c r="B72" i="77"/>
  <c r="C12" i="11"/>
  <c r="D64" i="87" s="1"/>
  <c r="C11" i="11"/>
  <c r="D63" i="87" s="1"/>
  <c r="G24" i="11"/>
  <c r="E50" i="45" l="1"/>
  <c r="G45" i="45"/>
  <c r="J103" i="77"/>
  <c r="J110" i="77"/>
  <c r="J114" i="77"/>
  <c r="J118" i="77"/>
  <c r="J126" i="77"/>
  <c r="K40" i="45"/>
  <c r="K48" i="45"/>
  <c r="J91" i="77"/>
  <c r="E45" i="45"/>
  <c r="K38" i="45"/>
  <c r="K42" i="45"/>
  <c r="F45" i="45"/>
  <c r="J119" i="77"/>
  <c r="J72" i="77"/>
  <c r="C50" i="45"/>
  <c r="K47" i="45"/>
  <c r="J111" i="77"/>
  <c r="D65" i="87"/>
  <c r="C45" i="45"/>
  <c r="K35" i="45"/>
  <c r="K49" i="45"/>
  <c r="J92" i="77"/>
  <c r="J73" i="77"/>
  <c r="J74" i="77"/>
  <c r="J75" i="77"/>
  <c r="J76" i="77"/>
  <c r="J77" i="77"/>
  <c r="J78" i="77"/>
  <c r="J79" i="77"/>
  <c r="J80" i="77"/>
  <c r="J81" i="77"/>
  <c r="J82" i="77"/>
  <c r="J83" i="77"/>
  <c r="J84" i="77"/>
  <c r="J85" i="77"/>
  <c r="J86" i="77"/>
  <c r="J87" i="77"/>
  <c r="J88" i="77"/>
  <c r="J89" i="77"/>
  <c r="J90" i="77"/>
  <c r="J93" i="77"/>
  <c r="B104" i="77"/>
  <c r="B127" i="77" s="1"/>
  <c r="J102" i="77"/>
  <c r="J105" i="77"/>
  <c r="J106" i="77"/>
  <c r="J107" i="77"/>
  <c r="J108" i="77"/>
  <c r="J109" i="77"/>
  <c r="J112" i="77"/>
  <c r="J113" i="77"/>
  <c r="J115" i="77"/>
  <c r="J116" i="77"/>
  <c r="J117" i="77"/>
  <c r="J120" i="77"/>
  <c r="J121" i="77"/>
  <c r="J122" i="77"/>
  <c r="J123" i="77"/>
  <c r="J124" i="77"/>
  <c r="J125" i="77"/>
  <c r="K37" i="45"/>
  <c r="K39" i="45"/>
  <c r="K41" i="45"/>
  <c r="K43" i="45"/>
  <c r="G28" i="11"/>
  <c r="G27" i="11"/>
  <c r="E25" i="11"/>
  <c r="E29" i="11" s="1"/>
  <c r="C25" i="11"/>
  <c r="C29" i="11" s="1"/>
  <c r="G23" i="11"/>
  <c r="G25" i="11" s="1"/>
  <c r="G16" i="11"/>
  <c r="E13" i="11"/>
  <c r="E17" i="11" s="1"/>
  <c r="G12" i="11"/>
  <c r="C13" i="11"/>
  <c r="J104" i="77" l="1"/>
  <c r="J127" i="77" s="1"/>
  <c r="J22" i="7"/>
  <c r="K45" i="45"/>
  <c r="K50" i="45"/>
  <c r="G29" i="11"/>
  <c r="G11" i="11"/>
  <c r="G13" i="11" s="1"/>
  <c r="J22" i="45" l="1"/>
  <c r="C27" i="83"/>
  <c r="E15" i="23" l="1"/>
  <c r="C15" i="23"/>
  <c r="I6" i="50" l="1"/>
  <c r="E6" i="50"/>
  <c r="B27" i="83"/>
  <c r="B25" i="83"/>
  <c r="F62" i="6" l="1"/>
  <c r="I36" i="60" l="1"/>
  <c r="G36" i="60"/>
  <c r="I32" i="60"/>
  <c r="G32" i="60"/>
  <c r="C23" i="23"/>
  <c r="E23" i="23"/>
  <c r="E38" i="87" l="1"/>
  <c r="J43" i="77" l="1"/>
  <c r="E4" i="87" l="1"/>
  <c r="D4" i="87"/>
  <c r="I11" i="50" l="1"/>
  <c r="G11" i="50"/>
  <c r="G6" i="50"/>
  <c r="C6" i="50"/>
  <c r="F57" i="10" l="1"/>
  <c r="C31" i="89" l="1"/>
  <c r="C24" i="89"/>
  <c r="B4" i="89"/>
  <c r="A34" i="77"/>
  <c r="A3" i="77"/>
  <c r="B16" i="88" l="1"/>
  <c r="B30" i="88"/>
  <c r="B41" i="88"/>
  <c r="B4" i="88"/>
  <c r="B28" i="49"/>
  <c r="B21" i="49"/>
  <c r="B4" i="49"/>
  <c r="B12" i="49"/>
  <c r="D50" i="88"/>
  <c r="C50" i="88"/>
  <c r="B50" i="88"/>
  <c r="E49" i="88"/>
  <c r="E48" i="88"/>
  <c r="E47" i="88"/>
  <c r="E46" i="88"/>
  <c r="E45" i="88"/>
  <c r="E44" i="88"/>
  <c r="E43" i="88"/>
  <c r="D39" i="88"/>
  <c r="C39" i="88"/>
  <c r="B39" i="88"/>
  <c r="E38" i="88"/>
  <c r="E37" i="88"/>
  <c r="E36" i="88"/>
  <c r="E35" i="88"/>
  <c r="E34" i="88"/>
  <c r="E33" i="88"/>
  <c r="E32" i="88"/>
  <c r="B26" i="88"/>
  <c r="B14" i="88"/>
  <c r="E24" i="88" l="1"/>
  <c r="E10" i="88"/>
  <c r="E13" i="88"/>
  <c r="E12" i="88"/>
  <c r="E50" i="88"/>
  <c r="D26" i="88"/>
  <c r="E39" i="88"/>
  <c r="E22" i="88"/>
  <c r="E25" i="88"/>
  <c r="D14" i="88"/>
  <c r="G38" i="83" l="1"/>
  <c r="G18" i="83"/>
  <c r="I19" i="43"/>
  <c r="G19" i="43"/>
  <c r="E27" i="83" l="1"/>
  <c r="D27" i="83"/>
  <c r="F27" i="83"/>
  <c r="G26" i="83" l="1"/>
  <c r="B40" i="77" l="1"/>
  <c r="D27" i="37" l="1"/>
  <c r="D36" i="37" s="1"/>
  <c r="C27" i="37"/>
  <c r="B40" i="83" l="1"/>
  <c r="A63" i="77"/>
  <c r="A38" i="77"/>
  <c r="A40" i="77"/>
  <c r="I40" i="77" l="1"/>
  <c r="J57" i="77"/>
  <c r="F40" i="77"/>
  <c r="F104" i="77" s="1"/>
  <c r="F127" i="77" s="1"/>
  <c r="G40" i="77"/>
  <c r="J58" i="77"/>
  <c r="J59" i="77"/>
  <c r="J61" i="77"/>
  <c r="J55" i="77"/>
  <c r="E40" i="77"/>
  <c r="E104" i="77" s="1"/>
  <c r="E127" i="77" s="1"/>
  <c r="D40" i="77"/>
  <c r="D104" i="77" s="1"/>
  <c r="D127" i="77" s="1"/>
  <c r="I26" i="75" l="1"/>
  <c r="I28" i="75" s="1"/>
  <c r="G26" i="75"/>
  <c r="G28" i="75" s="1"/>
  <c r="G45" i="58"/>
  <c r="I34" i="58"/>
  <c r="G34" i="58"/>
  <c r="G48" i="44"/>
  <c r="I34" i="42"/>
  <c r="I33" i="42"/>
  <c r="G34" i="42"/>
  <c r="G33" i="42"/>
  <c r="G24" i="44"/>
  <c r="G31" i="43"/>
  <c r="I24" i="36"/>
  <c r="G24" i="36"/>
  <c r="I32" i="42"/>
  <c r="G11" i="42"/>
  <c r="F27" i="37"/>
  <c r="I35" i="42" l="1"/>
  <c r="B65" i="79" l="1"/>
  <c r="B66" i="79"/>
  <c r="B30" i="79"/>
  <c r="B31" i="79"/>
  <c r="C53" i="32"/>
  <c r="C63" i="32" s="1"/>
  <c r="J57" i="10" l="1"/>
  <c r="F6" i="49" l="1"/>
  <c r="D11" i="76"/>
  <c r="F15" i="49" l="1"/>
  <c r="F14" i="49" l="1"/>
  <c r="E11" i="76"/>
  <c r="D13" i="76"/>
  <c r="A11" i="5"/>
  <c r="A15" i="5" s="1"/>
  <c r="E13" i="76" l="1"/>
  <c r="F11" i="76"/>
  <c r="B15" i="5"/>
  <c r="A19" i="5"/>
  <c r="B19" i="5" s="1"/>
  <c r="I42" i="36"/>
  <c r="G42" i="36"/>
  <c r="A3" i="85" l="1"/>
  <c r="B4" i="12" s="1"/>
  <c r="F13" i="76"/>
  <c r="G11" i="76"/>
  <c r="A29" i="85" l="1"/>
  <c r="A38" i="85" s="1"/>
  <c r="B3" i="85"/>
  <c r="G13" i="76"/>
  <c r="H11" i="76"/>
  <c r="I11" i="76" s="1"/>
  <c r="C18" i="76" s="1"/>
  <c r="B29" i="85" l="1"/>
  <c r="H13" i="76"/>
  <c r="A45" i="85"/>
  <c r="A3" i="67" s="1"/>
  <c r="B38" i="85"/>
  <c r="A21" i="68" l="1"/>
  <c r="I13" i="76"/>
  <c r="B45" i="85"/>
  <c r="D18" i="76" l="1"/>
  <c r="C20" i="76"/>
  <c r="E18" i="76" l="1"/>
  <c r="F18" i="76" s="1"/>
  <c r="G18" i="76" s="1"/>
  <c r="D20" i="76"/>
  <c r="G20" i="76" l="1"/>
  <c r="H18" i="76"/>
  <c r="F20" i="76"/>
  <c r="E20" i="76"/>
  <c r="G39" i="83"/>
  <c r="G37" i="83"/>
  <c r="G36" i="83"/>
  <c r="G34" i="83"/>
  <c r="G33" i="83"/>
  <c r="G25" i="83"/>
  <c r="G27" i="83" s="1"/>
  <c r="G19" i="83"/>
  <c r="G17" i="83"/>
  <c r="G16" i="83"/>
  <c r="G14" i="83"/>
  <c r="H20" i="76" l="1"/>
  <c r="B20" i="83"/>
  <c r="B7" i="83"/>
  <c r="C30" i="44"/>
  <c r="E30" i="44"/>
  <c r="G30" i="44"/>
  <c r="I30" i="44"/>
  <c r="G40" i="44"/>
  <c r="I40" i="44"/>
  <c r="I48" i="44"/>
  <c r="C33" i="49" l="1"/>
  <c r="D33" i="49"/>
  <c r="E33" i="49"/>
  <c r="C26" i="49"/>
  <c r="D26" i="49"/>
  <c r="E26" i="49"/>
  <c r="F25" i="49"/>
  <c r="F24" i="49"/>
  <c r="F23" i="49"/>
  <c r="F26" i="49" l="1"/>
  <c r="B16" i="37" l="1"/>
  <c r="B7" i="37"/>
  <c r="B36" i="37"/>
  <c r="B27" i="37"/>
  <c r="B25" i="37"/>
  <c r="G27" i="37" l="1"/>
  <c r="G36" i="37" s="1"/>
  <c r="G16" i="37" s="1"/>
  <c r="F36" i="37"/>
  <c r="F7" i="37" s="1"/>
  <c r="F16" i="37" s="1"/>
  <c r="E18" i="49" l="1"/>
  <c r="D18" i="49"/>
  <c r="D10" i="49" l="1"/>
  <c r="F9" i="49"/>
  <c r="E10" i="49"/>
  <c r="F7" i="49"/>
  <c r="J22" i="77"/>
  <c r="C10" i="1" l="1"/>
  <c r="C9" i="1"/>
  <c r="B39" i="42" l="1"/>
  <c r="E34" i="58"/>
  <c r="E45" i="58"/>
  <c r="I48" i="42"/>
  <c r="E9" i="73"/>
  <c r="I9" i="73"/>
  <c r="I29" i="73"/>
  <c r="B29" i="73"/>
  <c r="B27" i="73"/>
  <c r="B9" i="73"/>
  <c r="B7" i="73"/>
  <c r="I20" i="60"/>
  <c r="I28" i="60" s="1"/>
  <c r="G18" i="60" s="1"/>
  <c r="B20" i="60"/>
  <c r="B39" i="32" l="1"/>
  <c r="B16" i="32"/>
  <c r="B16" i="78"/>
  <c r="B39" i="78"/>
  <c r="I45" i="73"/>
  <c r="G45" i="73"/>
  <c r="E45" i="73"/>
  <c r="C45" i="73"/>
  <c r="H23" i="10" l="1"/>
  <c r="I31" i="75" l="1"/>
  <c r="E11" i="35" l="1"/>
  <c r="C11" i="35"/>
  <c r="C16" i="60"/>
  <c r="E16" i="60"/>
  <c r="G16" i="60"/>
  <c r="I16" i="60"/>
  <c r="B28" i="60"/>
  <c r="G20" i="60"/>
  <c r="G28" i="60" s="1"/>
  <c r="D5" i="6"/>
  <c r="F5" i="6"/>
  <c r="C57" i="7" l="1"/>
  <c r="L60" i="32" l="1"/>
  <c r="L61" i="32"/>
  <c r="L46" i="32"/>
  <c r="L47" i="32"/>
  <c r="L48" i="32"/>
  <c r="M60" i="78"/>
  <c r="E18" i="58" l="1"/>
  <c r="E20" i="58" s="1"/>
  <c r="C18" i="58"/>
  <c r="C20" i="58" s="1"/>
  <c r="D53" i="79"/>
  <c r="E53" i="79"/>
  <c r="F53" i="79"/>
  <c r="G53" i="79"/>
  <c r="H53" i="79"/>
  <c r="I53" i="79"/>
  <c r="J53" i="79"/>
  <c r="K53" i="79"/>
  <c r="D39" i="79"/>
  <c r="E39" i="79"/>
  <c r="E66" i="79" s="1"/>
  <c r="F39" i="79"/>
  <c r="G39" i="79"/>
  <c r="H39" i="79"/>
  <c r="I39" i="79"/>
  <c r="J39" i="79"/>
  <c r="C53" i="79"/>
  <c r="L46" i="79"/>
  <c r="C39" i="79"/>
  <c r="L53" i="78"/>
  <c r="D53" i="78"/>
  <c r="K53" i="78"/>
  <c r="J53" i="78"/>
  <c r="H53" i="78"/>
  <c r="G53" i="78"/>
  <c r="F53" i="78"/>
  <c r="C53" i="78"/>
  <c r="F66" i="79" l="1"/>
  <c r="J66" i="79"/>
  <c r="G66" i="79"/>
  <c r="H66" i="79"/>
  <c r="D66" i="79"/>
  <c r="I66" i="79"/>
  <c r="C66" i="79"/>
  <c r="E53" i="78"/>
  <c r="I53" i="78"/>
  <c r="M12" i="78" l="1"/>
  <c r="F32" i="49"/>
  <c r="F31" i="49"/>
  <c r="F30" i="49"/>
  <c r="F17" i="49"/>
  <c r="F33" i="49" l="1"/>
  <c r="L23" i="80" l="1"/>
  <c r="L21" i="80"/>
  <c r="L20" i="80"/>
  <c r="L11" i="80"/>
  <c r="L10" i="80"/>
  <c r="L8" i="80"/>
  <c r="L22" i="80"/>
  <c r="L9" i="80"/>
  <c r="I21" i="75" l="1"/>
  <c r="G21" i="75"/>
  <c r="I9" i="75" l="1"/>
  <c r="G9" i="75"/>
  <c r="E9" i="75"/>
  <c r="C9" i="75"/>
  <c r="I45" i="58"/>
  <c r="I18" i="58"/>
  <c r="I20" i="58" s="1"/>
  <c r="G18" i="58"/>
  <c r="G20" i="58" s="1"/>
  <c r="I24" i="44"/>
  <c r="I14" i="44"/>
  <c r="G14" i="44"/>
  <c r="I31" i="43"/>
  <c r="I38" i="35"/>
  <c r="G38" i="35"/>
  <c r="I50" i="73"/>
  <c r="G50" i="73"/>
  <c r="I40" i="73"/>
  <c r="G27" i="73" s="1"/>
  <c r="G29" i="73" s="1"/>
  <c r="G40" i="73" s="1"/>
  <c r="I20" i="73"/>
  <c r="G7" i="73" s="1"/>
  <c r="G9" i="73" s="1"/>
  <c r="G20" i="73" s="1"/>
  <c r="K23" i="54"/>
  <c r="K22" i="54"/>
  <c r="K21" i="54"/>
  <c r="K20" i="54"/>
  <c r="K19" i="54"/>
  <c r="K11" i="54"/>
  <c r="K10" i="54"/>
  <c r="K9" i="54"/>
  <c r="K8" i="54"/>
  <c r="K7" i="54"/>
  <c r="J12" i="54"/>
  <c r="I12" i="54"/>
  <c r="H12" i="54"/>
  <c r="G12" i="54"/>
  <c r="F12" i="54"/>
  <c r="E12" i="54"/>
  <c r="D12" i="54"/>
  <c r="C12" i="54"/>
  <c r="J53" i="26"/>
  <c r="J63" i="26" s="1"/>
  <c r="J18" i="26" s="1"/>
  <c r="I53" i="26"/>
  <c r="I63" i="26" s="1"/>
  <c r="I18" i="26" s="1"/>
  <c r="H53" i="26"/>
  <c r="H63" i="26" s="1"/>
  <c r="H18" i="26" s="1"/>
  <c r="G53" i="26"/>
  <c r="G63" i="26" s="1"/>
  <c r="G18" i="26" s="1"/>
  <c r="F53" i="26"/>
  <c r="F63" i="26" s="1"/>
  <c r="F18" i="26" s="1"/>
  <c r="E53" i="26"/>
  <c r="E63" i="26" s="1"/>
  <c r="E18" i="26" s="1"/>
  <c r="D53" i="26"/>
  <c r="D63" i="26" s="1"/>
  <c r="D18" i="26" s="1"/>
  <c r="C53" i="26"/>
  <c r="C63" i="26" s="1"/>
  <c r="C18" i="26" s="1"/>
  <c r="J39" i="26"/>
  <c r="J49" i="26" s="1"/>
  <c r="J6" i="26" s="1"/>
  <c r="I39" i="26"/>
  <c r="I49" i="26" s="1"/>
  <c r="I6" i="26" s="1"/>
  <c r="H39" i="26"/>
  <c r="H49" i="26" s="1"/>
  <c r="H6" i="26" s="1"/>
  <c r="G39" i="26"/>
  <c r="G49" i="26" s="1"/>
  <c r="G6" i="26" s="1"/>
  <c r="F39" i="26"/>
  <c r="F49" i="26" s="1"/>
  <c r="F6" i="26" s="1"/>
  <c r="E39" i="26"/>
  <c r="E49" i="26" s="1"/>
  <c r="E6" i="26" s="1"/>
  <c r="D39" i="26"/>
  <c r="D49" i="26" s="1"/>
  <c r="D6" i="26" s="1"/>
  <c r="C39" i="26"/>
  <c r="C49" i="26" s="1"/>
  <c r="C6" i="26" s="1"/>
  <c r="K62" i="26"/>
  <c r="K61" i="26"/>
  <c r="K60" i="26"/>
  <c r="K59" i="26"/>
  <c r="K58" i="26"/>
  <c r="K57" i="26"/>
  <c r="K56" i="26"/>
  <c r="K55" i="26"/>
  <c r="K54" i="26"/>
  <c r="K52" i="26"/>
  <c r="K51" i="26"/>
  <c r="K48" i="26"/>
  <c r="K47" i="26"/>
  <c r="K46" i="26"/>
  <c r="K45" i="26"/>
  <c r="K44" i="26"/>
  <c r="K43" i="26"/>
  <c r="K42" i="26"/>
  <c r="K41" i="26"/>
  <c r="K40" i="26"/>
  <c r="K38" i="26"/>
  <c r="K37" i="26"/>
  <c r="K27" i="26"/>
  <c r="K26" i="26"/>
  <c r="K25" i="26"/>
  <c r="K24" i="26"/>
  <c r="K23" i="26"/>
  <c r="K22" i="26"/>
  <c r="K21" i="26"/>
  <c r="K20" i="26"/>
  <c r="K19" i="26"/>
  <c r="K15" i="26"/>
  <c r="K14" i="26"/>
  <c r="K13" i="26"/>
  <c r="K12" i="26"/>
  <c r="K11" i="26"/>
  <c r="K10" i="26"/>
  <c r="K9" i="26"/>
  <c r="K8" i="26"/>
  <c r="K7" i="26"/>
  <c r="K53" i="32"/>
  <c r="K63" i="32" s="1"/>
  <c r="J53" i="32"/>
  <c r="J63" i="32" s="1"/>
  <c r="I53" i="32"/>
  <c r="I63" i="32" s="1"/>
  <c r="H53" i="32"/>
  <c r="H63" i="32" s="1"/>
  <c r="G53" i="32"/>
  <c r="G63" i="32" s="1"/>
  <c r="F53" i="32"/>
  <c r="F63" i="32" s="1"/>
  <c r="E53" i="32"/>
  <c r="E63" i="32" s="1"/>
  <c r="D53" i="32"/>
  <c r="D63" i="32" s="1"/>
  <c r="L62" i="32"/>
  <c r="L59" i="32"/>
  <c r="L58" i="32"/>
  <c r="L57" i="32"/>
  <c r="L56" i="32"/>
  <c r="L55" i="32"/>
  <c r="L54" i="32"/>
  <c r="L52" i="32"/>
  <c r="L51" i="32"/>
  <c r="L45" i="32"/>
  <c r="L44" i="32"/>
  <c r="L43" i="32"/>
  <c r="L42" i="32"/>
  <c r="L41" i="32"/>
  <c r="L40" i="32"/>
  <c r="L38" i="32"/>
  <c r="L37" i="32"/>
  <c r="K39" i="32"/>
  <c r="K49" i="32" s="1"/>
  <c r="J39" i="32"/>
  <c r="J49" i="32" s="1"/>
  <c r="I39" i="32"/>
  <c r="I49" i="32" s="1"/>
  <c r="H39" i="32"/>
  <c r="H49" i="32" s="1"/>
  <c r="G39" i="32"/>
  <c r="G49" i="32" s="1"/>
  <c r="F39" i="32"/>
  <c r="F49" i="32" s="1"/>
  <c r="E39" i="32"/>
  <c r="E49" i="32" s="1"/>
  <c r="D39" i="32"/>
  <c r="D49" i="32" s="1"/>
  <c r="C39" i="32"/>
  <c r="C49" i="32" s="1"/>
  <c r="L27" i="32"/>
  <c r="L26" i="32"/>
  <c r="L25" i="32"/>
  <c r="L24" i="32"/>
  <c r="L23" i="32"/>
  <c r="L22" i="32"/>
  <c r="L21" i="32"/>
  <c r="L20" i="32"/>
  <c r="L19" i="32"/>
  <c r="L15" i="32"/>
  <c r="L14" i="32"/>
  <c r="L13" i="32"/>
  <c r="L12" i="32"/>
  <c r="L11" i="32"/>
  <c r="L10" i="32"/>
  <c r="L9" i="32"/>
  <c r="L8" i="32"/>
  <c r="L7" i="32"/>
  <c r="J23" i="10"/>
  <c r="J36" i="10"/>
  <c r="H36" i="10"/>
  <c r="J50" i="7"/>
  <c r="H50" i="7"/>
  <c r="J38" i="7"/>
  <c r="H38" i="7"/>
  <c r="J30" i="7"/>
  <c r="H30" i="7"/>
  <c r="H22" i="7"/>
  <c r="J14" i="7"/>
  <c r="H14" i="7"/>
  <c r="K12" i="54" l="1"/>
  <c r="C65" i="32"/>
  <c r="J31" i="7"/>
  <c r="J39" i="7" s="1"/>
  <c r="K39" i="26"/>
  <c r="K49" i="26" s="1"/>
  <c r="K53" i="26"/>
  <c r="K63" i="26" s="1"/>
  <c r="L53" i="32"/>
  <c r="L63" i="32" s="1"/>
  <c r="H31" i="7"/>
  <c r="H39" i="7" s="1"/>
  <c r="L39" i="32"/>
  <c r="L49" i="32" s="1"/>
  <c r="I29" i="50" l="1"/>
  <c r="G29" i="50"/>
  <c r="E29" i="50"/>
  <c r="C29" i="50"/>
  <c r="I22" i="50"/>
  <c r="G22" i="50"/>
  <c r="E22" i="50"/>
  <c r="C22" i="50"/>
  <c r="I93" i="66"/>
  <c r="G93" i="66"/>
  <c r="E93" i="66"/>
  <c r="C93" i="66"/>
  <c r="I77" i="66"/>
  <c r="I75" i="66"/>
  <c r="I73" i="66"/>
  <c r="I61" i="66"/>
  <c r="I59" i="66"/>
  <c r="I57" i="66"/>
  <c r="K39" i="78"/>
  <c r="J39" i="78"/>
  <c r="G39" i="78"/>
  <c r="F39" i="78"/>
  <c r="G30" i="50" l="1"/>
  <c r="I30" i="50"/>
  <c r="C30" i="50"/>
  <c r="E30" i="50"/>
  <c r="L15" i="79"/>
  <c r="L27" i="79"/>
  <c r="L45" i="79"/>
  <c r="L62" i="79"/>
  <c r="M15" i="78"/>
  <c r="M25" i="78"/>
  <c r="M27" i="78"/>
  <c r="M42" i="78"/>
  <c r="M45" i="78"/>
  <c r="M47" i="78"/>
  <c r="M52" i="78"/>
  <c r="J24" i="77"/>
  <c r="J28" i="77"/>
  <c r="L26" i="79"/>
  <c r="E45" i="66"/>
  <c r="K10" i="45"/>
  <c r="K11" i="45"/>
  <c r="K12" i="45"/>
  <c r="K13" i="45"/>
  <c r="K14" i="45"/>
  <c r="K15" i="45"/>
  <c r="K20" i="45"/>
  <c r="L12" i="79"/>
  <c r="L24" i="79"/>
  <c r="L48" i="79"/>
  <c r="L61" i="79"/>
  <c r="G36" i="66"/>
  <c r="G38" i="66"/>
  <c r="G40" i="66"/>
  <c r="G42" i="66"/>
  <c r="G44" i="66"/>
  <c r="G62" i="66"/>
  <c r="G78" i="66"/>
  <c r="C20" i="35"/>
  <c r="C34" i="58"/>
  <c r="C45" i="58"/>
  <c r="L25" i="79"/>
  <c r="C39" i="78"/>
  <c r="M62" i="78"/>
  <c r="I56" i="66"/>
  <c r="I58" i="66"/>
  <c r="I60" i="66"/>
  <c r="I72" i="66"/>
  <c r="I74" i="66"/>
  <c r="I76" i="66"/>
  <c r="E15" i="56"/>
  <c r="E38" i="56"/>
  <c r="E20" i="35"/>
  <c r="G48" i="42"/>
  <c r="L14" i="79"/>
  <c r="L38" i="79"/>
  <c r="L51" i="79"/>
  <c r="L59" i="79"/>
  <c r="D39" i="78"/>
  <c r="H39" i="78"/>
  <c r="E48" i="12"/>
  <c r="C45" i="66"/>
  <c r="G35" i="66"/>
  <c r="G37" i="66"/>
  <c r="G39" i="66"/>
  <c r="G41" i="66"/>
  <c r="G43" i="66"/>
  <c r="L47" i="79"/>
  <c r="L52" i="79"/>
  <c r="L60" i="79"/>
  <c r="M9" i="78"/>
  <c r="M14" i="78"/>
  <c r="M24" i="78"/>
  <c r="M26" i="78"/>
  <c r="E39" i="78"/>
  <c r="I39" i="78"/>
  <c r="M38" i="78"/>
  <c r="M48" i="78"/>
  <c r="M51" i="78"/>
  <c r="M59" i="78"/>
  <c r="M61" i="78"/>
  <c r="E62" i="66"/>
  <c r="I55" i="66"/>
  <c r="E78" i="66"/>
  <c r="I71" i="66"/>
  <c r="C66" i="78" l="1"/>
  <c r="M53" i="78"/>
  <c r="L53" i="79"/>
  <c r="I62" i="66"/>
  <c r="I78" i="66"/>
  <c r="G45" i="66"/>
  <c r="B33" i="49" l="1"/>
  <c r="B26" i="49"/>
  <c r="I40" i="58"/>
  <c r="G40" i="58"/>
  <c r="I30" i="58"/>
  <c r="G30" i="58"/>
  <c r="I11" i="58"/>
  <c r="G11" i="58"/>
  <c r="I5" i="44"/>
  <c r="G5" i="44"/>
  <c r="E5" i="43"/>
  <c r="C5" i="43"/>
  <c r="G5" i="43"/>
  <c r="I44" i="42"/>
  <c r="G44" i="42"/>
  <c r="I22" i="42"/>
  <c r="I26" i="42" s="1"/>
  <c r="G20" i="42" s="1"/>
  <c r="G22" i="42" s="1"/>
  <c r="I18" i="42"/>
  <c r="G18" i="42"/>
  <c r="I11" i="42"/>
  <c r="I5" i="42"/>
  <c r="G5" i="42"/>
  <c r="I5" i="36"/>
  <c r="G5" i="36"/>
  <c r="I30" i="35"/>
  <c r="G30" i="35"/>
  <c r="C30" i="35"/>
  <c r="E30" i="35"/>
  <c r="I25" i="73"/>
  <c r="G25" i="73"/>
  <c r="I5" i="73"/>
  <c r="G5" i="73"/>
  <c r="B24" i="80"/>
  <c r="B18" i="80"/>
  <c r="B12" i="80"/>
  <c r="B6" i="80"/>
  <c r="B63" i="79"/>
  <c r="B53" i="79"/>
  <c r="B51" i="79"/>
  <c r="B49" i="79"/>
  <c r="B39" i="79"/>
  <c r="B37" i="79"/>
  <c r="B28" i="79"/>
  <c r="B18" i="79"/>
  <c r="B16" i="79"/>
  <c r="B6" i="79"/>
  <c r="B66" i="78"/>
  <c r="B65" i="78"/>
  <c r="B63" i="78"/>
  <c r="B53" i="78"/>
  <c r="B51" i="78"/>
  <c r="B49" i="78"/>
  <c r="B37" i="78"/>
  <c r="B31" i="78"/>
  <c r="B30" i="78"/>
  <c r="B28" i="78"/>
  <c r="B18" i="78"/>
  <c r="B6" i="78"/>
  <c r="F66" i="78" l="1"/>
  <c r="G66" i="78"/>
  <c r="K66" i="78"/>
  <c r="J66" i="78"/>
  <c r="J53" i="10"/>
  <c r="J54" i="10" s="1"/>
  <c r="H53" i="10"/>
  <c r="H54" i="10" s="1"/>
  <c r="G25" i="42" s="1"/>
  <c r="G26" i="42" s="1"/>
  <c r="G28" i="42" s="1"/>
  <c r="G32" i="42" s="1"/>
  <c r="G35" i="42" s="1"/>
  <c r="J5" i="10"/>
  <c r="H5" i="10"/>
  <c r="A30" i="77"/>
  <c r="A7" i="77"/>
  <c r="J4" i="7"/>
  <c r="H4" i="7"/>
  <c r="J61" i="10" l="1"/>
  <c r="H55" i="10" s="1"/>
  <c r="H57" i="10" s="1"/>
  <c r="H61" i="10" s="1"/>
  <c r="E66" i="78"/>
  <c r="H66" i="78"/>
  <c r="D66" i="78"/>
  <c r="I66" i="78"/>
  <c r="G84" i="66" l="1"/>
  <c r="C84" i="66"/>
  <c r="B66" i="66"/>
  <c r="B50" i="66"/>
  <c r="I32" i="66"/>
  <c r="G32" i="66"/>
  <c r="I11" i="66"/>
  <c r="G11" i="66"/>
  <c r="I15" i="76"/>
  <c r="H15" i="76"/>
  <c r="I43" i="75"/>
  <c r="G31" i="75"/>
  <c r="I14" i="75"/>
  <c r="G14" i="75"/>
  <c r="E14" i="75"/>
  <c r="C14" i="75"/>
  <c r="I5" i="75"/>
  <c r="G5" i="75"/>
  <c r="E5" i="75"/>
  <c r="C5" i="75"/>
  <c r="G14" i="50"/>
  <c r="C14" i="50"/>
  <c r="B18" i="49"/>
  <c r="B10" i="49"/>
  <c r="E40" i="58"/>
  <c r="C40" i="58"/>
  <c r="E30" i="58"/>
  <c r="C30" i="58"/>
  <c r="E11" i="58"/>
  <c r="C11" i="58"/>
  <c r="B17" i="45"/>
  <c r="B7" i="45"/>
  <c r="E5" i="44"/>
  <c r="C5" i="44"/>
  <c r="I5" i="43"/>
  <c r="E18" i="42"/>
  <c r="C18" i="42"/>
  <c r="E5" i="42"/>
  <c r="C5" i="42"/>
  <c r="E5" i="36"/>
  <c r="C5" i="36"/>
  <c r="B40" i="73"/>
  <c r="E25" i="73"/>
  <c r="C25" i="73"/>
  <c r="B20" i="73"/>
  <c r="E5" i="73"/>
  <c r="C5" i="73"/>
  <c r="B24" i="54"/>
  <c r="B18" i="54"/>
  <c r="B12" i="54"/>
  <c r="B6" i="54"/>
  <c r="B66" i="26"/>
  <c r="B65" i="26"/>
  <c r="B63" i="26"/>
  <c r="B53" i="26"/>
  <c r="B51" i="26"/>
  <c r="B49" i="26"/>
  <c r="I66" i="26"/>
  <c r="E66" i="26"/>
  <c r="B39" i="26"/>
  <c r="B37" i="26"/>
  <c r="B31" i="26"/>
  <c r="B30" i="26"/>
  <c r="B28" i="26"/>
  <c r="B18" i="26"/>
  <c r="B16" i="26"/>
  <c r="B6" i="26"/>
  <c r="B66" i="32"/>
  <c r="B65" i="32"/>
  <c r="B63" i="32"/>
  <c r="B53" i="32"/>
  <c r="B51" i="32"/>
  <c r="B49" i="32"/>
  <c r="B37" i="32"/>
  <c r="B31" i="32"/>
  <c r="B30" i="32"/>
  <c r="B28" i="32"/>
  <c r="B18" i="32"/>
  <c r="B6" i="32"/>
  <c r="E39" i="21"/>
  <c r="C39" i="21"/>
  <c r="E32" i="21"/>
  <c r="C32" i="21"/>
  <c r="E16" i="21"/>
  <c r="C16" i="21"/>
  <c r="E5" i="21"/>
  <c r="C5" i="21"/>
  <c r="E40" i="56"/>
  <c r="C40" i="56"/>
  <c r="E32" i="56"/>
  <c r="C32" i="56"/>
  <c r="E17" i="56"/>
  <c r="C17" i="56"/>
  <c r="E9" i="56"/>
  <c r="C9" i="56"/>
  <c r="E4" i="15"/>
  <c r="C4" i="15"/>
  <c r="E4" i="23"/>
  <c r="C4" i="23"/>
  <c r="E4" i="14"/>
  <c r="C4" i="14"/>
  <c r="E6" i="12"/>
  <c r="C6" i="12"/>
  <c r="A3" i="11"/>
  <c r="A3" i="12" s="1"/>
  <c r="B7" i="5"/>
  <c r="B5" i="5"/>
  <c r="F5" i="10"/>
  <c r="D5" i="10"/>
  <c r="F4" i="7"/>
  <c r="D4" i="7"/>
  <c r="C22" i="2"/>
  <c r="B12" i="4"/>
  <c r="B47" i="6" l="1"/>
  <c r="B42" i="6"/>
  <c r="B3" i="12"/>
  <c r="C7" i="6"/>
  <c r="B9" i="2"/>
  <c r="B6" i="56"/>
  <c r="B13" i="2"/>
  <c r="B27" i="56"/>
  <c r="B9" i="4"/>
  <c r="G47" i="66"/>
  <c r="E11" i="42"/>
  <c r="C11" i="42"/>
  <c r="A6" i="12"/>
  <c r="A35" i="12" s="1"/>
  <c r="B35" i="12" s="1"/>
  <c r="B3" i="11"/>
  <c r="C66" i="32"/>
  <c r="G66" i="32"/>
  <c r="K66" i="32"/>
  <c r="D66" i="32"/>
  <c r="H66" i="32"/>
  <c r="F66" i="26"/>
  <c r="J66" i="26"/>
  <c r="E66" i="32"/>
  <c r="I66" i="32"/>
  <c r="G66" i="26"/>
  <c r="F66" i="32"/>
  <c r="J66" i="32"/>
  <c r="D66" i="26"/>
  <c r="H66" i="26"/>
  <c r="D65" i="26" l="1"/>
  <c r="F65" i="26"/>
  <c r="I65" i="26"/>
  <c r="E65" i="26"/>
  <c r="H65" i="26"/>
  <c r="G65" i="26"/>
  <c r="J65" i="32"/>
  <c r="E65" i="32"/>
  <c r="D65" i="32"/>
  <c r="G65" i="32"/>
  <c r="F65" i="32"/>
  <c r="I65" i="32"/>
  <c r="H65" i="32"/>
  <c r="J65" i="26"/>
  <c r="K65" i="32"/>
  <c r="A3" i="87"/>
  <c r="B6" i="12"/>
  <c r="K65" i="26"/>
  <c r="K66" i="26"/>
  <c r="C66" i="26"/>
  <c r="C65" i="26"/>
  <c r="L66" i="32"/>
  <c r="B3" i="87" l="1"/>
  <c r="A11" i="87"/>
  <c r="A54" i="87" s="1"/>
  <c r="L65" i="32"/>
  <c r="B54" i="87" l="1"/>
  <c r="A3" i="14"/>
  <c r="C8" i="6"/>
  <c r="C12" i="10"/>
  <c r="B11" i="87"/>
  <c r="B3" i="67" l="1"/>
  <c r="A3" i="69"/>
  <c r="A8" i="69" s="1"/>
  <c r="B21" i="68" l="1"/>
  <c r="B3" i="69" l="1"/>
  <c r="A11" i="69" l="1"/>
  <c r="A3" i="23" l="1"/>
  <c r="A17" i="23"/>
  <c r="B3" i="14"/>
  <c r="C10" i="10"/>
  <c r="B8" i="69"/>
  <c r="B3" i="23" l="1"/>
  <c r="B11" i="69"/>
  <c r="A3" i="70"/>
  <c r="A3" i="90" s="1"/>
  <c r="A25" i="90" s="1"/>
  <c r="B25" i="90" s="1"/>
  <c r="B3" i="90" l="1"/>
  <c r="A22" i="23"/>
  <c r="B17" i="23"/>
  <c r="B3" i="70"/>
  <c r="B22" i="23" l="1"/>
  <c r="A3" i="15"/>
  <c r="C11" i="10"/>
  <c r="C26" i="6"/>
  <c r="B3" i="15" l="1"/>
  <c r="A25" i="15"/>
  <c r="C9" i="6"/>
  <c r="A3" i="71"/>
  <c r="B25" i="15" l="1"/>
  <c r="A3" i="61"/>
  <c r="A8" i="71"/>
  <c r="A12" i="71" s="1"/>
  <c r="B3" i="71"/>
  <c r="A3" i="56" l="1"/>
  <c r="B3" i="61"/>
  <c r="B8" i="71"/>
  <c r="B12" i="71" l="1"/>
  <c r="A17" i="71"/>
  <c r="B17" i="71" s="1"/>
  <c r="B3" i="56"/>
  <c r="A5" i="56"/>
  <c r="A26" i="56" l="1"/>
  <c r="B5" i="56"/>
  <c r="A20" i="71"/>
  <c r="B26" i="56" l="1"/>
  <c r="A3" i="21"/>
  <c r="A24" i="71"/>
  <c r="B20" i="71"/>
  <c r="A14" i="21" l="1"/>
  <c r="C12" i="6"/>
  <c r="B3" i="21"/>
  <c r="B24" i="71"/>
  <c r="A27" i="71"/>
  <c r="B27" i="71" l="1"/>
  <c r="A3" i="89"/>
  <c r="C13" i="6"/>
  <c r="A31" i="21"/>
  <c r="B14" i="21"/>
  <c r="B31" i="21" l="1"/>
  <c r="A38" i="21"/>
  <c r="A6" i="89"/>
  <c r="B3" i="89"/>
  <c r="B38" i="21" l="1"/>
  <c r="A3" i="78"/>
  <c r="C16" i="6"/>
  <c r="C36" i="6"/>
  <c r="B6" i="89"/>
  <c r="A46" i="89"/>
  <c r="A52" i="89" l="1"/>
  <c r="B52" i="89" s="1"/>
  <c r="B46" i="89"/>
  <c r="C21" i="6" l="1"/>
  <c r="A3" i="32" l="1"/>
  <c r="B3" i="78"/>
  <c r="A34" i="78"/>
  <c r="B34" i="78" s="1"/>
  <c r="C7" i="7" l="1"/>
  <c r="B3" i="32"/>
  <c r="A34" i="32"/>
  <c r="A3" i="79" l="1"/>
  <c r="B34" i="32"/>
  <c r="A34" i="79" l="1"/>
  <c r="B3" i="79"/>
  <c r="B34" i="79" l="1"/>
  <c r="A3" i="80"/>
  <c r="B3" i="80" l="1"/>
  <c r="A15" i="80"/>
  <c r="A3" i="26" l="1"/>
  <c r="B15" i="80"/>
  <c r="B3" i="26" l="1"/>
  <c r="C8" i="7"/>
  <c r="A34" i="26"/>
  <c r="B34" i="26" l="1"/>
  <c r="A3" i="54"/>
  <c r="B3" i="54" l="1"/>
  <c r="A15" i="54"/>
  <c r="A3" i="60" l="1"/>
  <c r="B15" i="54"/>
  <c r="B3" i="60" l="1"/>
  <c r="A7" i="60"/>
  <c r="A3" i="73" s="1"/>
  <c r="A43" i="73" s="1"/>
  <c r="B43" i="73" l="1"/>
  <c r="A28" i="35"/>
  <c r="C27" i="6"/>
  <c r="B7" i="60"/>
  <c r="A14" i="60"/>
  <c r="C9" i="7" l="1"/>
  <c r="B14" i="60"/>
  <c r="A31" i="60"/>
  <c r="B31" i="60" s="1"/>
  <c r="B3" i="73" l="1"/>
  <c r="C17" i="6"/>
  <c r="C28" i="6"/>
  <c r="A23" i="73"/>
  <c r="C10" i="7"/>
  <c r="C18" i="7" l="1"/>
  <c r="C29" i="6"/>
  <c r="C11" i="7"/>
  <c r="C35" i="6"/>
  <c r="A3" i="35" l="1"/>
  <c r="A7" i="35" l="1"/>
  <c r="B3" i="35"/>
  <c r="C49" i="7" l="1"/>
  <c r="B7" i="35"/>
  <c r="B28" i="35" l="1"/>
  <c r="C16" i="7"/>
  <c r="A3" i="36"/>
  <c r="B3" i="36" l="1"/>
  <c r="A3" i="37"/>
  <c r="C17" i="7"/>
  <c r="C12" i="7"/>
  <c r="B3" i="37" l="1"/>
  <c r="A21" i="37"/>
  <c r="A14" i="42" s="1"/>
  <c r="B21" i="37" l="1"/>
  <c r="C13" i="7" l="1"/>
  <c r="C19" i="7"/>
  <c r="C20" i="7" l="1"/>
  <c r="A3" i="42"/>
  <c r="C29" i="7" l="1"/>
  <c r="B3" i="42"/>
  <c r="C21" i="7" l="1"/>
  <c r="C61" i="10"/>
  <c r="B14" i="42"/>
  <c r="A38" i="42"/>
  <c r="A3" i="43" l="1"/>
  <c r="B38" i="42"/>
  <c r="C33" i="7" l="1"/>
  <c r="A38" i="43"/>
  <c r="B3" i="43"/>
  <c r="C24" i="7"/>
  <c r="A3" i="44" l="1"/>
  <c r="B38" i="43"/>
  <c r="A28" i="44" l="1"/>
  <c r="B3" i="44"/>
  <c r="C37" i="7"/>
  <c r="C28" i="7"/>
  <c r="A3" i="83" l="1"/>
  <c r="A3" i="45" s="1"/>
  <c r="B28" i="44"/>
  <c r="C25" i="7"/>
  <c r="C34" i="7"/>
  <c r="C35" i="7" l="1"/>
  <c r="C26" i="7"/>
  <c r="A31" i="45" l="1"/>
  <c r="C36" i="7"/>
  <c r="B3" i="45"/>
  <c r="C27" i="7"/>
  <c r="A3" i="58" l="1"/>
  <c r="A28" i="58" s="1"/>
  <c r="A3" i="62" s="1"/>
  <c r="B31" i="45"/>
  <c r="B3" i="58" l="1"/>
  <c r="A9" i="58"/>
  <c r="B9" i="58" l="1"/>
  <c r="B28" i="58" l="1"/>
  <c r="A37" i="58"/>
  <c r="B37" i="58" l="1"/>
  <c r="C31" i="6" l="1"/>
  <c r="B3" i="62" l="1"/>
  <c r="A5" i="62"/>
  <c r="A3" i="49" l="1"/>
  <c r="B5" i="62"/>
  <c r="B3" i="49" l="1"/>
  <c r="A20" i="49"/>
  <c r="B20" i="49" l="1"/>
  <c r="A3" i="88"/>
  <c r="B3" i="88" l="1"/>
  <c r="A29" i="88"/>
  <c r="B29" i="88" s="1"/>
  <c r="A54" i="88" l="1"/>
  <c r="A3" i="50" l="1"/>
  <c r="B54" i="88"/>
  <c r="B3" i="50" l="1"/>
  <c r="A13" i="50"/>
  <c r="A3" i="91" l="1"/>
  <c r="A3" i="46"/>
  <c r="B13" i="50"/>
  <c r="B3" i="91" l="1"/>
  <c r="A27" i="91"/>
  <c r="A23" i="91"/>
  <c r="B27" i="91" l="1"/>
  <c r="A37" i="91"/>
  <c r="B3" i="46"/>
  <c r="C32" i="6" l="1"/>
  <c r="C18" i="6"/>
  <c r="A4" i="75" l="1"/>
  <c r="A19" i="75" l="1"/>
  <c r="B4" i="75"/>
  <c r="A30" i="75" l="1"/>
  <c r="B19" i="75"/>
  <c r="B30" i="75" l="1"/>
  <c r="A42" i="75"/>
  <c r="A4" i="76" l="1"/>
  <c r="B4" i="76" s="1"/>
  <c r="B42" i="75"/>
  <c r="M55" i="78" l="1"/>
  <c r="K49" i="78" l="1"/>
  <c r="C44" i="21"/>
  <c r="I49" i="78"/>
  <c r="H63" i="78"/>
  <c r="H18" i="78" s="1"/>
  <c r="H18" i="32" s="1"/>
  <c r="H28" i="32" s="1"/>
  <c r="I63" i="79"/>
  <c r="I18" i="79" s="1"/>
  <c r="I28" i="26" s="1"/>
  <c r="E32" i="42"/>
  <c r="J20" i="77"/>
  <c r="J51" i="77"/>
  <c r="E39" i="87"/>
  <c r="E42" i="87"/>
  <c r="J49" i="78"/>
  <c r="M46" i="78"/>
  <c r="I63" i="78"/>
  <c r="I18" i="78" s="1"/>
  <c r="I18" i="32" s="1"/>
  <c r="I28" i="32" s="1"/>
  <c r="J63" i="79"/>
  <c r="J18" i="79" s="1"/>
  <c r="J28" i="26" s="1"/>
  <c r="L42" i="79"/>
  <c r="I63" i="77"/>
  <c r="I7" i="77" s="1"/>
  <c r="E43" i="87"/>
  <c r="M21" i="78"/>
  <c r="D49" i="78"/>
  <c r="M44" i="78"/>
  <c r="K63" i="78"/>
  <c r="K18" i="78" s="1"/>
  <c r="K18" i="32" s="1"/>
  <c r="K28" i="32" s="1"/>
  <c r="L13" i="79"/>
  <c r="E44" i="21"/>
  <c r="J52" i="77"/>
  <c r="E22" i="42"/>
  <c r="J23" i="77"/>
  <c r="J60" i="77"/>
  <c r="E37" i="87"/>
  <c r="E49" i="78"/>
  <c r="M41" i="78"/>
  <c r="D63" i="78"/>
  <c r="D18" i="78" s="1"/>
  <c r="D18" i="32" s="1"/>
  <c r="D28" i="32" s="1"/>
  <c r="E63" i="79"/>
  <c r="E18" i="79" s="1"/>
  <c r="E28" i="26" s="1"/>
  <c r="J21" i="77"/>
  <c r="J54" i="77"/>
  <c r="M13" i="78"/>
  <c r="F49" i="78"/>
  <c r="E63" i="78"/>
  <c r="E18" i="78" s="1"/>
  <c r="E18" i="32" s="1"/>
  <c r="E28" i="32" s="1"/>
  <c r="F63" i="79"/>
  <c r="F18" i="79" s="1"/>
  <c r="F28" i="26" s="1"/>
  <c r="J39" i="77"/>
  <c r="J16" i="77"/>
  <c r="E63" i="77"/>
  <c r="E7" i="77" s="1"/>
  <c r="E71" i="77" s="1"/>
  <c r="E94" i="77" s="1"/>
  <c r="G49" i="78"/>
  <c r="F63" i="78"/>
  <c r="F18" i="78" s="1"/>
  <c r="F18" i="32" s="1"/>
  <c r="F28" i="32" s="1"/>
  <c r="M56" i="78"/>
  <c r="G63" i="79"/>
  <c r="G18" i="79" s="1"/>
  <c r="G28" i="26" s="1"/>
  <c r="M43" i="78"/>
  <c r="J63" i="78"/>
  <c r="J18" i="78" s="1"/>
  <c r="J18" i="32" s="1"/>
  <c r="J28" i="32" s="1"/>
  <c r="E20" i="60"/>
  <c r="C36" i="37"/>
  <c r="J18" i="77"/>
  <c r="J27" i="77"/>
  <c r="H40" i="77"/>
  <c r="F63" i="77"/>
  <c r="F7" i="77" s="1"/>
  <c r="F71" i="77" s="1"/>
  <c r="F94" i="77" s="1"/>
  <c r="J49" i="77"/>
  <c r="J56" i="77"/>
  <c r="E45" i="87"/>
  <c r="E31" i="12"/>
  <c r="M11" i="78"/>
  <c r="H49" i="78"/>
  <c r="G63" i="78"/>
  <c r="G18" i="78" s="1"/>
  <c r="G18" i="32" s="1"/>
  <c r="G28" i="32" s="1"/>
  <c r="H63" i="79"/>
  <c r="H18" i="79" s="1"/>
  <c r="H28" i="26" s="1"/>
  <c r="L9" i="79"/>
  <c r="E29" i="73"/>
  <c r="C32" i="42"/>
  <c r="H49" i="79"/>
  <c r="L11" i="79"/>
  <c r="I49" i="79"/>
  <c r="J49" i="79"/>
  <c r="L43" i="79"/>
  <c r="L41" i="79"/>
  <c r="L56" i="79"/>
  <c r="E49" i="79"/>
  <c r="F49" i="79"/>
  <c r="G49" i="79"/>
  <c r="E25" i="87"/>
  <c r="E46" i="87"/>
  <c r="I79" i="66" l="1"/>
  <c r="H28" i="79"/>
  <c r="E20" i="73"/>
  <c r="C7" i="73" s="1"/>
  <c r="C9" i="73" s="1"/>
  <c r="G15" i="83"/>
  <c r="C38" i="56"/>
  <c r="G17" i="66"/>
  <c r="C15" i="56"/>
  <c r="I28" i="79"/>
  <c r="I37" i="75"/>
  <c r="I40" i="75" s="1"/>
  <c r="G28" i="78"/>
  <c r="J53" i="77"/>
  <c r="D63" i="77"/>
  <c r="D7" i="77" s="1"/>
  <c r="D71" i="77" s="1"/>
  <c r="D94" i="77" s="1"/>
  <c r="E46" i="56"/>
  <c r="D53" i="10"/>
  <c r="H28" i="78"/>
  <c r="G31" i="83"/>
  <c r="G30" i="83"/>
  <c r="F36" i="10"/>
  <c r="K6" i="78"/>
  <c r="K6" i="32" s="1"/>
  <c r="K65" i="78"/>
  <c r="E23" i="88"/>
  <c r="J47" i="77"/>
  <c r="E14" i="44"/>
  <c r="D30" i="77"/>
  <c r="F28" i="78"/>
  <c r="E19" i="43"/>
  <c r="B63" i="77"/>
  <c r="B7" i="77" s="1"/>
  <c r="B71" i="77" s="1"/>
  <c r="C12" i="21"/>
  <c r="H6" i="78"/>
  <c r="H6" i="32" s="1"/>
  <c r="H65" i="78"/>
  <c r="E16" i="87"/>
  <c r="J17" i="77"/>
  <c r="G16" i="66"/>
  <c r="J14" i="77"/>
  <c r="M23" i="78"/>
  <c r="I45" i="66"/>
  <c r="E28" i="60"/>
  <c r="C18" i="60" s="1"/>
  <c r="C20" i="60" s="1"/>
  <c r="C52" i="21"/>
  <c r="L63" i="78"/>
  <c r="L18" i="78" s="1"/>
  <c r="L28" i="78" s="1"/>
  <c r="G19" i="66"/>
  <c r="I6" i="78"/>
  <c r="I6" i="32" s="1"/>
  <c r="I65" i="78"/>
  <c r="J50" i="77"/>
  <c r="E50" i="73"/>
  <c r="C47" i="73" s="1"/>
  <c r="C50" i="73" s="1"/>
  <c r="J41" i="77"/>
  <c r="G18" i="66"/>
  <c r="E21" i="87"/>
  <c r="G22" i="66"/>
  <c r="E18" i="87"/>
  <c r="J26" i="77"/>
  <c r="C40" i="83"/>
  <c r="C7" i="83" s="1"/>
  <c r="G28" i="83"/>
  <c r="M40" i="78"/>
  <c r="C49" i="78"/>
  <c r="G6" i="78"/>
  <c r="G6" i="32" s="1"/>
  <c r="G65" i="78"/>
  <c r="M10" i="78"/>
  <c r="D28" i="78"/>
  <c r="M19" i="78"/>
  <c r="M54" i="78"/>
  <c r="E47" i="87"/>
  <c r="C10" i="49"/>
  <c r="F8" i="49"/>
  <c r="F10" i="49" s="1"/>
  <c r="G21" i="66"/>
  <c r="K8" i="45"/>
  <c r="C40" i="77"/>
  <c r="C104" i="77" s="1"/>
  <c r="C127" i="77" s="1"/>
  <c r="J38" i="77"/>
  <c r="J40" i="77" s="1"/>
  <c r="G23" i="66"/>
  <c r="D65" i="78"/>
  <c r="D6" i="78"/>
  <c r="D6" i="32" s="1"/>
  <c r="I30" i="77"/>
  <c r="M58" i="78"/>
  <c r="K28" i="78"/>
  <c r="L54" i="79"/>
  <c r="C63" i="79"/>
  <c r="C18" i="79" s="1"/>
  <c r="J12" i="77"/>
  <c r="G8" i="83"/>
  <c r="F16" i="49"/>
  <c r="F18" i="49" s="1"/>
  <c r="C18" i="49"/>
  <c r="E36" i="87"/>
  <c r="E52" i="21"/>
  <c r="J13" i="77"/>
  <c r="F53" i="10"/>
  <c r="J25" i="77"/>
  <c r="G28" i="79"/>
  <c r="F30" i="77"/>
  <c r="J46" i="77"/>
  <c r="E31" i="43"/>
  <c r="M37" i="78"/>
  <c r="M39" i="78" s="1"/>
  <c r="L39" i="78"/>
  <c r="E28" i="78"/>
  <c r="K19" i="45"/>
  <c r="E12" i="21"/>
  <c r="D40" i="83"/>
  <c r="D7" i="83" s="1"/>
  <c r="J19" i="77"/>
  <c r="E9" i="88"/>
  <c r="G15" i="66"/>
  <c r="E24" i="87"/>
  <c r="E21" i="88"/>
  <c r="E44" i="87"/>
  <c r="J8" i="77"/>
  <c r="J28" i="78"/>
  <c r="G20" i="66"/>
  <c r="J45" i="77"/>
  <c r="I63" i="66"/>
  <c r="E40" i="83"/>
  <c r="E7" i="83" s="1"/>
  <c r="E38" i="35"/>
  <c r="G11" i="83"/>
  <c r="E11" i="88"/>
  <c r="G28" i="66"/>
  <c r="E26" i="21"/>
  <c r="E29" i="21" s="1"/>
  <c r="G25" i="66"/>
  <c r="E22" i="87"/>
  <c r="C16" i="37"/>
  <c r="I28" i="78"/>
  <c r="E30" i="77"/>
  <c r="F6" i="78"/>
  <c r="F6" i="32" s="1"/>
  <c r="F65" i="78"/>
  <c r="E6" i="78"/>
  <c r="E6" i="32" s="1"/>
  <c r="E65" i="78"/>
  <c r="E23" i="56"/>
  <c r="J6" i="78"/>
  <c r="J6" i="32" s="1"/>
  <c r="J65" i="78"/>
  <c r="M7" i="78"/>
  <c r="E35" i="87"/>
  <c r="C48" i="87"/>
  <c r="L23" i="79"/>
  <c r="J28" i="79"/>
  <c r="L21" i="79"/>
  <c r="E40" i="87"/>
  <c r="L19" i="79"/>
  <c r="I65" i="79"/>
  <c r="I6" i="79"/>
  <c r="L40" i="79"/>
  <c r="C49" i="79"/>
  <c r="H6" i="79"/>
  <c r="H65" i="79"/>
  <c r="L10" i="79"/>
  <c r="L58" i="79"/>
  <c r="F28" i="79"/>
  <c r="E28" i="79"/>
  <c r="L7" i="79"/>
  <c r="K39" i="79"/>
  <c r="L37" i="79"/>
  <c r="F6" i="79"/>
  <c r="F65" i="79"/>
  <c r="J6" i="79"/>
  <c r="J65" i="79"/>
  <c r="G6" i="79"/>
  <c r="G65" i="79"/>
  <c r="E6" i="79"/>
  <c r="E65" i="79"/>
  <c r="L44" i="79"/>
  <c r="L55" i="79"/>
  <c r="K63" i="79"/>
  <c r="K18" i="79" s="1"/>
  <c r="E24" i="66"/>
  <c r="E26" i="66" s="1"/>
  <c r="C28" i="26" l="1"/>
  <c r="B94" i="77"/>
  <c r="H16" i="26"/>
  <c r="H30" i="26" s="1"/>
  <c r="H31" i="26"/>
  <c r="E16" i="26"/>
  <c r="E30" i="26" s="1"/>
  <c r="E31" i="26"/>
  <c r="I16" i="26"/>
  <c r="I30" i="26" s="1"/>
  <c r="I31" i="26"/>
  <c r="J16" i="26"/>
  <c r="J30" i="26" s="1"/>
  <c r="J31" i="26"/>
  <c r="G16" i="26"/>
  <c r="G30" i="26" s="1"/>
  <c r="G31" i="26"/>
  <c r="F16" i="26"/>
  <c r="F30" i="26" s="1"/>
  <c r="F31" i="26"/>
  <c r="D16" i="32"/>
  <c r="D30" i="32" s="1"/>
  <c r="D31" i="32"/>
  <c r="F16" i="32"/>
  <c r="F30" i="32" s="1"/>
  <c r="F31" i="32"/>
  <c r="H16" i="32"/>
  <c r="H30" i="32" s="1"/>
  <c r="H31" i="32"/>
  <c r="J16" i="32"/>
  <c r="J30" i="32" s="1"/>
  <c r="J31" i="32"/>
  <c r="K16" i="32"/>
  <c r="K30" i="32" s="1"/>
  <c r="K31" i="32"/>
  <c r="I16" i="32"/>
  <c r="I30" i="32" s="1"/>
  <c r="I31" i="32"/>
  <c r="E31" i="32"/>
  <c r="E16" i="32"/>
  <c r="E30" i="32" s="1"/>
  <c r="G16" i="32"/>
  <c r="G30" i="32" s="1"/>
  <c r="G31" i="32"/>
  <c r="C20" i="73"/>
  <c r="C26" i="21"/>
  <c r="E35" i="42"/>
  <c r="M8" i="78"/>
  <c r="C35" i="42"/>
  <c r="C14" i="44"/>
  <c r="E24" i="36"/>
  <c r="C28" i="79"/>
  <c r="K28" i="79"/>
  <c r="M49" i="78"/>
  <c r="E34" i="23"/>
  <c r="E36" i="23" s="1"/>
  <c r="C46" i="56"/>
  <c r="C24" i="66"/>
  <c r="C26" i="66" s="1"/>
  <c r="D20" i="83"/>
  <c r="G13" i="83"/>
  <c r="E15" i="87"/>
  <c r="E20" i="83"/>
  <c r="I17" i="45"/>
  <c r="E17" i="87"/>
  <c r="B30" i="77"/>
  <c r="F17" i="45"/>
  <c r="D17" i="45"/>
  <c r="E48" i="44"/>
  <c r="E17" i="15"/>
  <c r="E19" i="15" s="1"/>
  <c r="E23" i="87"/>
  <c r="C17" i="45"/>
  <c r="G16" i="78"/>
  <c r="G30" i="78" s="1"/>
  <c r="G31" i="78"/>
  <c r="K9" i="45"/>
  <c r="C28" i="60"/>
  <c r="I24" i="66"/>
  <c r="I26" i="66" s="1"/>
  <c r="M20" i="78"/>
  <c r="E26" i="42"/>
  <c r="C20" i="42" s="1"/>
  <c r="C22" i="42" s="1"/>
  <c r="C31" i="12"/>
  <c r="G14" i="66"/>
  <c r="G24" i="66" s="1"/>
  <c r="G26" i="66" s="1"/>
  <c r="F16" i="78"/>
  <c r="F30" i="78" s="1"/>
  <c r="F31" i="78"/>
  <c r="I16" i="78"/>
  <c r="I30" i="78" s="1"/>
  <c r="I31" i="78"/>
  <c r="E11" i="50"/>
  <c r="E18" i="88"/>
  <c r="F15" i="6"/>
  <c r="G17" i="45"/>
  <c r="D16" i="37"/>
  <c r="J10" i="77"/>
  <c r="H17" i="45"/>
  <c r="E26" i="87"/>
  <c r="C6" i="78"/>
  <c r="C6" i="32" s="1"/>
  <c r="L49" i="78"/>
  <c r="L66" i="78"/>
  <c r="M66" i="78" s="1"/>
  <c r="E14" i="87"/>
  <c r="E6" i="88"/>
  <c r="C23" i="56"/>
  <c r="C48" i="44"/>
  <c r="J16" i="78"/>
  <c r="J30" i="78" s="1"/>
  <c r="J31" i="78"/>
  <c r="E16" i="78"/>
  <c r="E30" i="78" s="1"/>
  <c r="E31" i="78"/>
  <c r="C34" i="23"/>
  <c r="C36" i="23" s="1"/>
  <c r="E17" i="45"/>
  <c r="D16" i="78"/>
  <c r="D30" i="78" s="1"/>
  <c r="D31" i="78"/>
  <c r="H16" i="78"/>
  <c r="H30" i="78" s="1"/>
  <c r="H31" i="78"/>
  <c r="K16" i="78"/>
  <c r="K30" i="78" s="1"/>
  <c r="K31" i="78"/>
  <c r="G10" i="83"/>
  <c r="C20" i="83"/>
  <c r="L8" i="79"/>
  <c r="G37" i="75"/>
  <c r="G40" i="75" s="1"/>
  <c r="J16" i="79"/>
  <c r="J30" i="79" s="1"/>
  <c r="J31" i="79"/>
  <c r="I16" i="79"/>
  <c r="I30" i="79" s="1"/>
  <c r="I31" i="79"/>
  <c r="H12" i="80"/>
  <c r="E16" i="79"/>
  <c r="E30" i="79" s="1"/>
  <c r="E31" i="79"/>
  <c r="J12" i="80"/>
  <c r="F16" i="79"/>
  <c r="F30" i="79" s="1"/>
  <c r="F31" i="79"/>
  <c r="C63" i="77"/>
  <c r="C7" i="77" s="1"/>
  <c r="C71" i="77" s="1"/>
  <c r="C94" i="77" s="1"/>
  <c r="J48" i="77"/>
  <c r="D49" i="79"/>
  <c r="J24" i="80"/>
  <c r="J24" i="54" s="1"/>
  <c r="G16" i="79"/>
  <c r="G30" i="79" s="1"/>
  <c r="G31" i="79"/>
  <c r="K66" i="79"/>
  <c r="L66" i="79" s="1"/>
  <c r="L39" i="79"/>
  <c r="L49" i="79" s="1"/>
  <c r="K49" i="79"/>
  <c r="H31" i="79"/>
  <c r="H16" i="79"/>
  <c r="H30" i="79" s="1"/>
  <c r="F12" i="80"/>
  <c r="I24" i="80"/>
  <c r="I24" i="54" s="1"/>
  <c r="F24" i="80"/>
  <c r="F24" i="54" s="1"/>
  <c r="H24" i="80"/>
  <c r="H24" i="54" s="1"/>
  <c r="L20" i="79"/>
  <c r="G24" i="80"/>
  <c r="G24" i="54" s="1"/>
  <c r="E24" i="80"/>
  <c r="E24" i="54" s="1"/>
  <c r="J15" i="77"/>
  <c r="C65" i="79"/>
  <c r="C6" i="79"/>
  <c r="K24" i="80"/>
  <c r="K12" i="80"/>
  <c r="J71" i="77" l="1"/>
  <c r="J94" i="77" s="1"/>
  <c r="C31" i="26"/>
  <c r="C16" i="26"/>
  <c r="C30" i="26" s="1"/>
  <c r="C16" i="32"/>
  <c r="L6" i="32"/>
  <c r="L16" i="32" s="1"/>
  <c r="E40" i="44"/>
  <c r="J11" i="77"/>
  <c r="C27" i="87"/>
  <c r="E40" i="73"/>
  <c r="C27" i="73" s="1"/>
  <c r="C29" i="73" s="1"/>
  <c r="L6" i="78"/>
  <c r="L65" i="78"/>
  <c r="C16" i="78"/>
  <c r="C26" i="42"/>
  <c r="E42" i="36"/>
  <c r="J44" i="77"/>
  <c r="C17" i="15"/>
  <c r="C19" i="15" s="1"/>
  <c r="M57" i="78"/>
  <c r="M63" i="78" s="1"/>
  <c r="C63" i="78"/>
  <c r="K7" i="45"/>
  <c r="C11" i="50"/>
  <c r="G35" i="83"/>
  <c r="G40" i="83" s="1"/>
  <c r="F40" i="83"/>
  <c r="F7" i="83" s="1"/>
  <c r="G12" i="80"/>
  <c r="L22" i="79"/>
  <c r="E19" i="87"/>
  <c r="E12" i="80"/>
  <c r="C31" i="79"/>
  <c r="C16" i="79"/>
  <c r="C30" i="79" s="1"/>
  <c r="D6" i="79"/>
  <c r="I12" i="80"/>
  <c r="C30" i="77"/>
  <c r="K6" i="79"/>
  <c r="K65" i="79"/>
  <c r="C24" i="80"/>
  <c r="C24" i="54" l="1"/>
  <c r="D16" i="26"/>
  <c r="K6" i="26"/>
  <c r="K16" i="26" s="1"/>
  <c r="E24" i="44"/>
  <c r="F20" i="83"/>
  <c r="G7" i="83"/>
  <c r="G20" i="83" s="1"/>
  <c r="C48" i="12"/>
  <c r="C40" i="73"/>
  <c r="L31" i="78"/>
  <c r="L16" i="78"/>
  <c r="L30" i="78" s="1"/>
  <c r="C18" i="78"/>
  <c r="C18" i="32" s="1"/>
  <c r="C65" i="78"/>
  <c r="M65" i="78" s="1"/>
  <c r="M22" i="78"/>
  <c r="E8" i="88"/>
  <c r="M6" i="78"/>
  <c r="M16" i="78" s="1"/>
  <c r="E20" i="88"/>
  <c r="E19" i="88"/>
  <c r="K16" i="79"/>
  <c r="K30" i="79" s="1"/>
  <c r="K31" i="79"/>
  <c r="L57" i="79"/>
  <c r="L63" i="79" s="1"/>
  <c r="D63" i="79"/>
  <c r="D16" i="79"/>
  <c r="L6" i="79"/>
  <c r="L16" i="79" s="1"/>
  <c r="C38" i="35"/>
  <c r="L18" i="32" l="1"/>
  <c r="L28" i="32" s="1"/>
  <c r="C28" i="32"/>
  <c r="C30" i="32" s="1"/>
  <c r="L30" i="32" s="1"/>
  <c r="C31" i="32"/>
  <c r="L31" i="32" s="1"/>
  <c r="C40" i="44"/>
  <c r="E26" i="88"/>
  <c r="C24" i="44"/>
  <c r="M18" i="78"/>
  <c r="M28" i="78" s="1"/>
  <c r="C28" i="78"/>
  <c r="C30" i="78" s="1"/>
  <c r="M30" i="78" s="1"/>
  <c r="C31" i="78"/>
  <c r="M31" i="78" s="1"/>
  <c r="K16" i="45"/>
  <c r="K17" i="45" s="1"/>
  <c r="J17" i="45"/>
  <c r="C24" i="36"/>
  <c r="C26" i="88"/>
  <c r="D18" i="79"/>
  <c r="D65" i="79"/>
  <c r="L65" i="79" s="1"/>
  <c r="D28" i="26" l="1"/>
  <c r="D30" i="26" s="1"/>
  <c r="K30" i="26" s="1"/>
  <c r="K18" i="26"/>
  <c r="K28" i="26" s="1"/>
  <c r="D31" i="26"/>
  <c r="K31" i="26" s="1"/>
  <c r="F22" i="7"/>
  <c r="E7" i="88"/>
  <c r="E14" i="88" s="1"/>
  <c r="C14" i="88"/>
  <c r="C12" i="80"/>
  <c r="D28" i="79"/>
  <c r="D30" i="79" s="1"/>
  <c r="L30" i="79" s="1"/>
  <c r="L18" i="79"/>
  <c r="L28" i="79" s="1"/>
  <c r="D31" i="79"/>
  <c r="L31" i="79" s="1"/>
  <c r="D24" i="80" l="1"/>
  <c r="L19" i="80"/>
  <c r="L24" i="80" l="1"/>
  <c r="F14" i="7"/>
  <c r="D24" i="54" l="1"/>
  <c r="K24" i="54"/>
  <c r="D12" i="80"/>
  <c r="L12" i="80" s="1"/>
  <c r="L7" i="80"/>
  <c r="C29" i="21" l="1"/>
  <c r="I49" i="75"/>
  <c r="I18" i="76" l="1"/>
  <c r="I20" i="76" s="1"/>
  <c r="E41" i="87"/>
  <c r="E48" i="87" s="1"/>
  <c r="D48" i="87"/>
  <c r="F30" i="7" l="1"/>
  <c r="F31" i="7" s="1"/>
  <c r="D15" i="6"/>
  <c r="C15" i="11" s="1"/>
  <c r="C19" i="43"/>
  <c r="C31" i="43"/>
  <c r="D30" i="7"/>
  <c r="H63" i="77"/>
  <c r="H7" i="77" s="1"/>
  <c r="G15" i="11" l="1"/>
  <c r="G17" i="11" s="1"/>
  <c r="C17" i="11"/>
  <c r="I22" i="45"/>
  <c r="F22" i="45"/>
  <c r="D36" i="10"/>
  <c r="C47" i="14"/>
  <c r="H30" i="77"/>
  <c r="J29" i="77"/>
  <c r="E47" i="14"/>
  <c r="J62" i="77"/>
  <c r="E22" i="45" l="1"/>
  <c r="H22" i="45"/>
  <c r="D22" i="45"/>
  <c r="G22" i="45"/>
  <c r="D27" i="87"/>
  <c r="E20" i="87"/>
  <c r="E27" i="87" s="1"/>
  <c r="C42" i="36" l="1"/>
  <c r="C22" i="45"/>
  <c r="K21" i="45"/>
  <c r="K22" i="45" s="1"/>
  <c r="F38" i="7"/>
  <c r="F39" i="7" s="1"/>
  <c r="F10" i="6"/>
  <c r="F20" i="6" s="1"/>
  <c r="F22" i="6" s="1"/>
  <c r="F38" i="6" s="1"/>
  <c r="D14" i="7" l="1"/>
  <c r="D10" i="6"/>
  <c r="D20" i="6" s="1"/>
  <c r="D22" i="6" l="1"/>
  <c r="D38" i="7"/>
  <c r="D38" i="6"/>
  <c r="D53" i="6"/>
  <c r="F23" i="10"/>
  <c r="F54" i="10" s="1"/>
  <c r="F61" i="10" s="1"/>
  <c r="D55" i="10" s="1"/>
  <c r="D57" i="10" s="1"/>
  <c r="F48" i="6"/>
  <c r="F43" i="6"/>
  <c r="D22" i="7" l="1"/>
  <c r="D31" i="7" s="1"/>
  <c r="D39" i="7" s="1"/>
  <c r="D62" i="6"/>
  <c r="D48" i="6"/>
  <c r="D43" i="6"/>
  <c r="D23" i="10" l="1"/>
  <c r="D54" i="10" s="1"/>
  <c r="D61" i="10" s="1"/>
  <c r="J9" i="77"/>
  <c r="J42" i="77"/>
  <c r="J63" i="77" s="1"/>
  <c r="G63" i="77"/>
  <c r="G7" i="77" s="1"/>
  <c r="J7" i="77" l="1"/>
  <c r="J30" i="77" s="1"/>
  <c r="G30" i="77"/>
  <c r="F50" i="7" l="1"/>
  <c r="D50" i="7" l="1"/>
</calcChain>
</file>

<file path=xl/sharedStrings.xml><?xml version="1.0" encoding="utf-8"?>
<sst xmlns="http://schemas.openxmlformats.org/spreadsheetml/2006/main" count="2922" uniqueCount="1476">
  <si>
    <t>Provider accounts template - group accounts</t>
  </si>
  <si>
    <t>Background to this accounts template</t>
  </si>
  <si>
    <t xml:space="preserve">This accounts template has been developed by NHS Improvement for use by NHS providers (NHS FTs and NHS trusts) and is entirely optional for use. </t>
  </si>
  <si>
    <r>
      <t xml:space="preserve">The accounts prepared by NHS trusts and NHS foundation trusts should comply with the Department of Health and Social Care's Group Accounting Manual (GAM) (and NHS Improvement's </t>
    </r>
    <r>
      <rPr>
        <i/>
        <sz val="11"/>
        <color theme="1"/>
        <rFont val="Calibri"/>
        <family val="2"/>
        <scheme val="minor"/>
      </rPr>
      <t xml:space="preserve">NHS Foundation Trust Annual Reporting Manual </t>
    </r>
    <r>
      <rPr>
        <sz val="11"/>
        <color theme="1"/>
        <rFont val="Calibri"/>
        <family val="2"/>
        <scheme val="minor"/>
      </rPr>
      <t>(FT ARM) for foundation trusts). This template has been developed to assist trusts to meet these requirements. NHS Improvement has no current intention of mandating use of this accounts template in future periods.</t>
    </r>
  </si>
  <si>
    <r>
      <t xml:space="preserve">The requirements for a provider's accounts are set out in chapter 4 of the GAM. This optional accounts template does </t>
    </r>
    <r>
      <rPr>
        <b/>
        <sz val="11"/>
        <color theme="1"/>
        <rFont val="Calibri"/>
        <family val="2"/>
        <scheme val="minor"/>
      </rPr>
      <t>not</t>
    </r>
    <r>
      <rPr>
        <sz val="11"/>
        <color theme="1"/>
        <rFont val="Calibri"/>
        <family val="2"/>
        <scheme val="minor"/>
      </rPr>
      <t xml:space="preserve"> form part of Monitor's accounts direction to NHS foundation trusts or DHSC's direction to NHS Trusts. If at any point this template appears inconsistent with the GAM, the GAM is the primary source of direction. Any such inconsistency would, however, be unintentional as the purpose of this template is to assist providers in complying with the GAM when determining the format of their accounts.</t>
    </r>
  </si>
  <si>
    <t>We recognise that every trust is different, and will have slightly differing disclosure requirements. As such the spreadsheet is entirely unprotected: in using this tool you will need to hide rows/columns as appropriate or you may wish to aggregate immaterial rows or columns and update the mapping to the TAC schedules. As such NHS Improvement cannot guarantee that a set of accounts prepared using this tool will be compliant with the GAM to an extent that will satisfy the trust's auditors. In using this tool trusts will need to adapt it for local circumstances and NHS Improvement accepts no responsibility for the accounts that are produced.</t>
  </si>
  <si>
    <t>Trust and Group template versions</t>
  </si>
  <si>
    <t>Many trusts prepare group accounts, as they consolidate an NHS charitable fund or other subsidiaries. Many other trusts do not prepare group accounts. As such there are two versions of this template:</t>
  </si>
  <si>
    <r>
      <rPr>
        <b/>
        <sz val="11"/>
        <color theme="1"/>
        <rFont val="Calibri"/>
        <family val="2"/>
        <scheme val="minor"/>
      </rPr>
      <t>Trust accounts</t>
    </r>
    <r>
      <rPr>
        <sz val="11"/>
        <color theme="1"/>
        <rFont val="Calibri"/>
        <family val="2"/>
        <scheme val="minor"/>
      </rPr>
      <t>: This is a single entity version of the accounts template, with the figures linked to the totals in the TAC schedules.</t>
    </r>
  </si>
  <si>
    <r>
      <rPr>
        <b/>
        <sz val="11"/>
        <color theme="1"/>
        <rFont val="Calibri"/>
        <family val="2"/>
        <scheme val="minor"/>
      </rPr>
      <t>Group accounts</t>
    </r>
    <r>
      <rPr>
        <sz val="11"/>
        <color theme="1"/>
        <rFont val="Calibri"/>
        <family val="2"/>
        <scheme val="minor"/>
      </rPr>
      <t>: This version should be used by trusts preparing group accounts. The Group numbers are linked to the total column of the TAC schedules. The Trust numbers are not populated and you can link these either to your own working papers. For those who consolidate a charity but no other subsidiaries, the 'Group without charity' columns in the TAC schedules will provide the 'Trust' numbers you can link to if you wish. Alternatively you may have your own working papers for the consolidation and replace the source formulas for both the Group and Trust numbers.</t>
    </r>
  </si>
  <si>
    <t>Except for the presence of separate Group and Trust columns/tables in the first version, the two versions are the same.</t>
  </si>
  <si>
    <t>How to use this accounts template</t>
  </si>
  <si>
    <t>This accounts template is designed to be easy to work with in Microsoft Excel, but is also formatted in such a way that when printed, the end result is a presentable set of accounts. Different local printers will change how page margins work and some editing of column widths in particular may be required to achieve the right formatting for printing for each user.</t>
  </si>
  <si>
    <r>
      <t xml:space="preserve">The accounts template is linked to TAC schedules within the PFR file. Cells linked to the TAC schedules contain defined file paths which are easily updated by the trust if you choose to map cells differently.  The file as issued contains links directed at dummy TAC schedules held by NHS Improvement.  </t>
    </r>
    <r>
      <rPr>
        <b/>
        <sz val="11"/>
        <color theme="1"/>
        <rFont val="Calibri"/>
        <family val="2"/>
        <scheme val="minor"/>
      </rPr>
      <t>When opening the file for the first time, you should select 'do not update links' when prompted.</t>
    </r>
  </si>
  <si>
    <t>Follow the instructions below to direct the links to your local TAC schedule.</t>
  </si>
  <si>
    <t>Step 1: Link the accounts template to your PFR file</t>
  </si>
  <si>
    <t>As a starting point you should update the information on the Settings sheet. Then, you need to change the source file for the links as follows:</t>
  </si>
  <si>
    <t>1.</t>
  </si>
  <si>
    <t>Select the 'Data' tab on the ribbon at the top of Excel (if this tab is not visible it may need to be added by customising the ribbon in excel options)</t>
  </si>
  <si>
    <t>2.</t>
  </si>
  <si>
    <t>Within the 'Connections' section, select 'Edit Links'.</t>
  </si>
  <si>
    <t>3.</t>
  </si>
  <si>
    <t>In the dialogue box that appears, highlight the existing source file (the dummy file) and select 'Change Source'.</t>
  </si>
  <si>
    <t>4.</t>
  </si>
  <si>
    <t>Navigate to your locally saved PFR file and select.</t>
  </si>
  <si>
    <t>5.</t>
  </si>
  <si>
    <t>All links within this workbook should now be redirected to your local file.  Due to the number of links this may take some time.  Please be patient and do not attempt to perform other tasks in excel at the same time.</t>
  </si>
  <si>
    <t>Step 2: Check that the PFR linking is working and the accounts hold together</t>
  </si>
  <si>
    <t>In preparing this accounts template we have linked cells to the TAC schedules but you should verify that these are correct, and that nothing has been affected by changing the link to your PFR file.</t>
  </si>
  <si>
    <t>There are no validation checks within this accounts template, so at this point we recommend you review the document for reasonableness (not presentation at this stage) - checking that note totals agree between the TAC schedules and accounts, checking that primary statements are accurate, and so forth.</t>
  </si>
  <si>
    <t>Step 3: Tailor the document to become your accounts</t>
  </si>
  <si>
    <t>Tailoring the document may involve some or all of the following:</t>
  </si>
  <si>
    <t>◦ aggregating rows or columns within disclosure notes - care then needs to be taken to update the PFR mapping</t>
  </si>
  <si>
    <t>◦ hiding /deleting unnecessary columns or rows - for example unused categories of intangible asset. Care then needs to be taken to ensure that total formulae still work and column widths for row descriptions may need to be changed to ensure tables are right aligned on the page when printed.</t>
  </si>
  <si>
    <t>◦ hiding /deleting whole notes or sheets in some cases - then need to check that the primary statements are unaffected and update note numbering.  Please read Step 4 below in relation to note numbering.</t>
  </si>
  <si>
    <t>◦ tailoring existing notes where manual inputs/updates are required:</t>
  </si>
  <si>
    <r>
      <t xml:space="preserve">[Red text in square brackets indicates instructions and guidance which should be reviewed / addressed and then deleted]
</t>
    </r>
    <r>
      <rPr>
        <sz val="11"/>
        <color rgb="FF0070C0"/>
        <rFont val="Calibri"/>
        <family val="2"/>
        <scheme val="minor"/>
      </rPr>
      <t>Blue text (within the New Standards tab only) represents example disclosures which may be used by the provider if relevant.</t>
    </r>
  </si>
  <si>
    <t>◦ adding in extra notes</t>
  </si>
  <si>
    <t>◦ updating accounting policies - this template includes the example accounting policies issued by NHS Improvement.  These require local tailoring or replacing with the trust's own accounting policy disclosures.</t>
  </si>
  <si>
    <r>
      <t xml:space="preserve">[Red text in square brackets indicates instructions and guidance which should be reviewed / addressed and then deleted]
</t>
    </r>
    <r>
      <rPr>
        <sz val="11"/>
        <color rgb="FF0070C0"/>
        <rFont val="Calibri"/>
        <family val="2"/>
        <scheme val="minor"/>
      </rPr>
      <t>Blue text represents example accounting policies which will only be needed if particular circumstances apply materially to the Trust.</t>
    </r>
  </si>
  <si>
    <t>Step 4: Presentation</t>
  </si>
  <si>
    <t>Note numbers for each note use hidden text in column A to compute the note number adding on from the last note. Where you have added or deleted a note, this formula will need updating in the subsequent note, but then all subsequent notes will renumber. Note references on the primary statements are linked to the hidden numbers in column A so should update automatically when notes are updated. Note references within the example accounting policies are highlighted as red text and these should be updated locally.</t>
  </si>
  <si>
    <t>In Print Preview mode, you can see how the accounts template will look when printed. Each worksheet (tab) of the file should be checked individually for print preview. If necessary, adjust the column widths on a tab to improve how the document fits on a page. Add/amend page breaks within a tab if necessary (most easily done from page break view).</t>
  </si>
  <si>
    <r>
      <t xml:space="preserve">There are currently no headers and footers set in the template. The Trust may wish to insert the name of the Trust into the header - this is not currently done because of limitations in Excel not making it simple to link this to a cell for the user to edit. If you wish to add headers of footers, highlight the desired worksheets and edit the header/footer tab in the Page Setup box, which is accessible from the Page Layout tab of the ribbon &gt; Margins &gt; Custom margins &gt; Header and footer tab. These options can be set for each tab individually, or for a collection of sheets at once if these tabs are selected when the Page Setup options are amended. Please note that if these settings are changed with multiple sheets selected, all of the settings in the dialog box are applied to the selected sheets - including page orientation. Therefore to assist the user if you wish to change headers/footers for multiple sheets, sheets that are set to landscape orientation are coloured </t>
    </r>
    <r>
      <rPr>
        <sz val="11"/>
        <color theme="3" tint="0.39997558519241921"/>
        <rFont val="Calibri"/>
        <family val="2"/>
        <scheme val="minor"/>
      </rPr>
      <t xml:space="preserve">light blue </t>
    </r>
    <r>
      <rPr>
        <sz val="11"/>
        <color theme="1"/>
        <rFont val="Calibri"/>
        <family val="2"/>
        <scheme val="minor"/>
      </rPr>
      <t>for ease of identification.</t>
    </r>
  </si>
  <si>
    <t>The trust may wish to add the page number as a footer. Follow the instructions above for adding a footer. As the accounts follow the annual report, you may not wish to start the accounts page number at 1. In order to change this firstly click on the first tab you want to have a page number, select the Page Layout tab from the ribbon &gt; in the page setup section select the small arrow in the bottom right hand corner &gt; a pop up box will appear, on the Page tab change the last option 'First page number' to whatever page number you want &gt; click 'ok'. All subsequent tabs will follow this page numbering system.</t>
  </si>
  <si>
    <t>Step 5: Submission of accounts to NHS Improvement</t>
  </si>
  <si>
    <t>Where the trusts opts to use this template as a basis for their annual accounts, links to the PFR file (and all other working papers) should be broken before uploading the file to the trust's NHSI portal (for both the draft and final accounts submission).  This will prevent #REF! errors appearing when NHS Improvement  attempts to view the accounts.  Links to the PFR file can be broken as follows:</t>
  </si>
  <si>
    <t>Select the 'Data' tab on the ribbon at the top of excel (if this tab is not visible it may need to be added by customising the ribbon in excel options)</t>
  </si>
  <si>
    <t>In the dialog box that appears, highlight the PFR source file (and any other linked working papers in turn) and select 'Break Link'.</t>
  </si>
  <si>
    <t>Feedback and comments</t>
  </si>
  <si>
    <t>Your comments on this tool are very welcome. In future years we would like to explore adding additional functionality to the tool: please get in touch if you have any comments.</t>
  </si>
  <si>
    <t>Please send any comments to provider.accounts@improvement.nhs.uk</t>
  </si>
  <si>
    <t>Inputs</t>
  </si>
  <si>
    <t>MARSID</t>
  </si>
  <si>
    <t>Please select your MARSID</t>
  </si>
  <si>
    <t>Name of provider</t>
  </si>
  <si>
    <t>Provider status</t>
  </si>
  <si>
    <t>Date of year end (dd/mm/yyyy)</t>
  </si>
  <si>
    <t>Start of current year (dd/mm/yyyy)</t>
  </si>
  <si>
    <t>For new FTs, enter date of authorisation (i.e. opening balance sheet date)</t>
  </si>
  <si>
    <t>Comparative year end  (dd/mm/yyyy)</t>
  </si>
  <si>
    <t>Start of comparative year (dd/mm/yyyy)</t>
  </si>
  <si>
    <t>Year for financial reporting (20XX/YY)</t>
  </si>
  <si>
    <t>2021/22</t>
  </si>
  <si>
    <t>Year for comparative year (20XX/YY)</t>
  </si>
  <si>
    <t>2020/21</t>
  </si>
  <si>
    <t>Year for year end (20XX)</t>
  </si>
  <si>
    <t>2022</t>
  </si>
  <si>
    <t>Year for comparative year (20XX)</t>
  </si>
  <si>
    <t>2021</t>
  </si>
  <si>
    <t>For new FTs, enter calendar year of your authorisation</t>
  </si>
  <si>
    <t>Opening Year (20XX)</t>
  </si>
  <si>
    <t>2020</t>
  </si>
  <si>
    <t>Next financial year (20XX/YY)</t>
  </si>
  <si>
    <t>2022/23</t>
  </si>
  <si>
    <t>Date of approval of financial statements (dd/mm/yyyy)</t>
  </si>
  <si>
    <t>This will populate the 'ApprovalDate' in the foreword, on the SoFP and for events after the reporting period.</t>
  </si>
  <si>
    <r>
      <rPr>
        <b/>
        <u/>
        <sz val="9"/>
        <color rgb="FF0000FF"/>
        <rFont val="Arial"/>
        <family val="2"/>
      </rPr>
      <t>Updating links:</t>
    </r>
    <r>
      <rPr>
        <sz val="9"/>
        <color theme="1"/>
        <rFont val="Arial"/>
        <family val="2"/>
      </rPr>
      <t xml:space="preserve">
This file contains links to a dummy PFR file.  To update the links to your locally completed PFR select</t>
    </r>
    <r>
      <rPr>
        <sz val="9"/>
        <color rgb="FF0000FF"/>
        <rFont val="Arial"/>
        <family val="2"/>
      </rPr>
      <t xml:space="preserve"> 'Data'</t>
    </r>
    <r>
      <rPr>
        <sz val="9"/>
        <color theme="1"/>
        <rFont val="Arial"/>
        <family val="2"/>
      </rPr>
      <t xml:space="preserve"> on the ribbon and within the </t>
    </r>
    <r>
      <rPr>
        <sz val="9"/>
        <color rgb="FF0000FF"/>
        <rFont val="Arial"/>
        <family val="2"/>
      </rPr>
      <t>'Connections'</t>
    </r>
    <r>
      <rPr>
        <sz val="9"/>
        <color theme="1"/>
        <rFont val="Arial"/>
        <family val="2"/>
      </rPr>
      <t xml:space="preserve"> section select </t>
    </r>
    <r>
      <rPr>
        <sz val="9"/>
        <color rgb="FF0000FF"/>
        <rFont val="Arial"/>
        <family val="2"/>
      </rPr>
      <t>'Edit Links'</t>
    </r>
    <r>
      <rPr>
        <sz val="9"/>
        <color theme="1"/>
        <rFont val="Arial"/>
        <family val="2"/>
      </rPr>
      <t xml:space="preserve">.  In the dialogue box, select the existing source (linked to a dummy file) and choose </t>
    </r>
    <r>
      <rPr>
        <sz val="9"/>
        <color rgb="FF0000FF"/>
        <rFont val="Arial"/>
        <family val="2"/>
      </rPr>
      <t>'Change source'</t>
    </r>
    <r>
      <rPr>
        <sz val="9"/>
        <color theme="1"/>
        <rFont val="Arial"/>
        <family val="2"/>
      </rPr>
      <t>.  Then navigate to where your local TAC file is saved and select.  This will redirect all links in this workbook to your trust's TAC file.</t>
    </r>
  </si>
  <si>
    <t>Links should be broken before submitting this file (as draft or audited) to NHS Improvement via your portal.</t>
  </si>
  <si>
    <t>FT name</t>
  </si>
  <si>
    <t>Type</t>
  </si>
  <si>
    <t>No trust selected</t>
  </si>
  <si>
    <t>5BOROUGHSPART</t>
  </si>
  <si>
    <t>FT</t>
  </si>
  <si>
    <t>AINTREE</t>
  </si>
  <si>
    <t>Liverpool University Hospitals NHS Foundation Trust</t>
  </si>
  <si>
    <t>AIREDALE</t>
  </si>
  <si>
    <t>Airedale NHS Foundation Trust</t>
  </si>
  <si>
    <t>ALDERHEY</t>
  </si>
  <si>
    <t>Alder Hey Children's NHS Foundation Trust</t>
  </si>
  <si>
    <t>ASHFORD</t>
  </si>
  <si>
    <t>Ashford and St Peter's Hospitals NHS Foundation Trust</t>
  </si>
  <si>
    <t>AVONHEALTH</t>
  </si>
  <si>
    <t>Avon and Wiltshire Mental Health Partnership NHS Trust</t>
  </si>
  <si>
    <t>Trust</t>
  </si>
  <si>
    <t>BARKING</t>
  </si>
  <si>
    <t>Barking, Havering and Redbridge University Hospitals NHS Trust</t>
  </si>
  <si>
    <t>BARNET</t>
  </si>
  <si>
    <t>Barnet, Enfield And Haringey Mental Health NHS Trust</t>
  </si>
  <si>
    <t>BARNSLEY</t>
  </si>
  <si>
    <t>Barnsley Hospital NHS Foundation Trust</t>
  </si>
  <si>
    <t>BARTS</t>
  </si>
  <si>
    <t>Barts Health NHS Trust</t>
  </si>
  <si>
    <t>BASINGSTOKE</t>
  </si>
  <si>
    <t>Hampshire Hospitals NHS Foundation Trust</t>
  </si>
  <si>
    <t>BCH</t>
  </si>
  <si>
    <t>BERKSHIREHEALTH</t>
  </si>
  <si>
    <t>Berkshire Healthcare NHS Foundation Trust</t>
  </si>
  <si>
    <t>BIRMCOMM</t>
  </si>
  <si>
    <t>Birmingham Community Healthcare NHS Foundation Trust</t>
  </si>
  <si>
    <t>BIRMSOLIHULL</t>
  </si>
  <si>
    <t>Birmingham and Solihull Mental Health NHS Foundation Trust</t>
  </si>
  <si>
    <t>BLACKPOOL</t>
  </si>
  <si>
    <t>Blackpool Teaching Hospitals NHS Foundation Trust</t>
  </si>
  <si>
    <t>BOLTON</t>
  </si>
  <si>
    <t>Bolton NHS Foundation Trust</t>
  </si>
  <si>
    <t>BRADFORD</t>
  </si>
  <si>
    <t>Bradford Teaching Hospitals NHS Foundation Trust</t>
  </si>
  <si>
    <t>BRADFORDCARE</t>
  </si>
  <si>
    <t>Bradford District Care NHS Foundation Trust</t>
  </si>
  <si>
    <t>BRIDGEWATER</t>
  </si>
  <si>
    <t>Bridgewater Community Healthcare NHS Foundation Trust</t>
  </si>
  <si>
    <t>BRISTOL</t>
  </si>
  <si>
    <t>University Hospitals Bristol and Weston NHS Foundation Trust</t>
  </si>
  <si>
    <t>BUCKSHEALTH</t>
  </si>
  <si>
    <t>Buckinghamshire Healthcare NHS Trust</t>
  </si>
  <si>
    <t>CALDERDALE</t>
  </si>
  <si>
    <t>CAMBCOMM</t>
  </si>
  <si>
    <t>Cambridgeshire Community Services NHS Trust</t>
  </si>
  <si>
    <t>CAMBPETER</t>
  </si>
  <si>
    <t>Cambridgeshire and Peterborough NHS Foundation Trust</t>
  </si>
  <si>
    <t>CAMBRIDGE</t>
  </si>
  <si>
    <t>Cambridge University Hospitals NHS Foundation Trust</t>
  </si>
  <si>
    <t>CAMDEN</t>
  </si>
  <si>
    <t>Camden and Islington NHS Foundation Trust</t>
  </si>
  <si>
    <t>CHELSEA</t>
  </si>
  <si>
    <t>CHESTER</t>
  </si>
  <si>
    <t>Countess of Chester Hospital NHS Foundation Trust</t>
  </si>
  <si>
    <t>CHESTERFIELD</t>
  </si>
  <si>
    <t>Chesterfield Royal Hospital NHS Foundation Trust</t>
  </si>
  <si>
    <t>CHRISTIE</t>
  </si>
  <si>
    <t>The Christie NHS Foundation Trust</t>
  </si>
  <si>
    <t>CLATTERBRIDGE</t>
  </si>
  <si>
    <t>The Clatterbridge Cancer Centre NHS Foundation Trust</t>
  </si>
  <si>
    <t>CLONDONCOMM</t>
  </si>
  <si>
    <t>Central London Community Healthcare NHS Trust</t>
  </si>
  <si>
    <t>CNWL</t>
  </si>
  <si>
    <t>Central and North West London NHS Foundation Trust</t>
  </si>
  <si>
    <t>COLCHESTER</t>
  </si>
  <si>
    <t>East Suffolk and North Essex NHS Foundation Trust</t>
  </si>
  <si>
    <t>CORNWALLPART</t>
  </si>
  <si>
    <t>Cornwall Partnership NHS Foundation Trust</t>
  </si>
  <si>
    <t>COVENTRY</t>
  </si>
  <si>
    <t>University Hospitals Coventry And Warwickshire NHS Trust</t>
  </si>
  <si>
    <t>COVENTRYPART</t>
  </si>
  <si>
    <t>Coventry and Warwickshire Partnership NHS Trust</t>
  </si>
  <si>
    <t>CROYDON</t>
  </si>
  <si>
    <t>Croydon Health Services NHS Trust</t>
  </si>
  <si>
    <t>CUMBRIAPART</t>
  </si>
  <si>
    <t>North Cumbria Integrated Care NHS Foundation Trust</t>
  </si>
  <si>
    <t>CWPART</t>
  </si>
  <si>
    <t>Cheshire and Wirral Partnership NHS Foundation Trust</t>
  </si>
  <si>
    <t>DARLINGTON</t>
  </si>
  <si>
    <t>County Durham and Darlington NHS Foundation Trust</t>
  </si>
  <si>
    <t>DARTFORD</t>
  </si>
  <si>
    <t>Dartford and Gravesham NHS Trust</t>
  </si>
  <si>
    <t>DERBY</t>
  </si>
  <si>
    <t>University Hospitals of Derby and Burton NHS Foundation Trust</t>
  </si>
  <si>
    <t>DERBYSHIRECOMMUNITY</t>
  </si>
  <si>
    <t>Derbyshire Community Health Services NHS Foundation Trust</t>
  </si>
  <si>
    <t>DERBYSHIREHEALTH</t>
  </si>
  <si>
    <t>Derbyshire Healthcare NHS Foundation Trust</t>
  </si>
  <si>
    <t>DEVONPART</t>
  </si>
  <si>
    <t>Devon Partnership NHS Trust</t>
  </si>
  <si>
    <t>DONCASTER</t>
  </si>
  <si>
    <t>DORSET</t>
  </si>
  <si>
    <t>University Hospitals Dorset NHS Foundation Trust</t>
  </si>
  <si>
    <t>DORSETCOUNTY</t>
  </si>
  <si>
    <t>Dorset County Hospital NHS Foundation Trust</t>
  </si>
  <si>
    <t>DORSETHEALTH</t>
  </si>
  <si>
    <t>Dorset Healthcare University NHS Foundation Trust</t>
  </si>
  <si>
    <t>DUDLEY</t>
  </si>
  <si>
    <t>The Dudley Group NHS Foundation Trust</t>
  </si>
  <si>
    <t>DUDLEYHEALTH</t>
  </si>
  <si>
    <t>Dudley Integrated Health and Care NHS Trust</t>
  </si>
  <si>
    <t>EASTCHESHIRE</t>
  </si>
  <si>
    <t>East Cheshire NHS Trust</t>
  </si>
  <si>
    <t>EASTENGLANDAMB</t>
  </si>
  <si>
    <t>East of England Ambulance Service NHS Trust</t>
  </si>
  <si>
    <t>EASTKENT</t>
  </si>
  <si>
    <t>East Kent Hospitals University NHS Foundation Trust</t>
  </si>
  <si>
    <t>EASTLANCS</t>
  </si>
  <si>
    <t>East Lancashire Hospitals NHS Trust</t>
  </si>
  <si>
    <t>EASTLONDON</t>
  </si>
  <si>
    <t>East London NHS Foundation Trust</t>
  </si>
  <si>
    <t>EASTMIDLANDSAMB</t>
  </si>
  <si>
    <t>East Midlands Ambulance Service NHS Trust</t>
  </si>
  <si>
    <t>EASTSUSSEX</t>
  </si>
  <si>
    <t>East Sussex Healthcare NHS Trust</t>
  </si>
  <si>
    <t>ENHERTS</t>
  </si>
  <si>
    <t>East And North Hertfordshire NHS Trust</t>
  </si>
  <si>
    <t>EPSOM</t>
  </si>
  <si>
    <t>Epsom and St Helier University Hospitals NHS Trust</t>
  </si>
  <si>
    <t>ESSEXPART</t>
  </si>
  <si>
    <t>Essex Partnership University NHS Foundation Trust</t>
  </si>
  <si>
    <t>FRIMLEY</t>
  </si>
  <si>
    <t>Frimley Health NHS Foundation Trust</t>
  </si>
  <si>
    <t>GATESHEAD</t>
  </si>
  <si>
    <t>Gateshead Health NHS Foundation Trust</t>
  </si>
  <si>
    <t>GEORGEELIOT</t>
  </si>
  <si>
    <t>George Eliot Hospital NHS Trust</t>
  </si>
  <si>
    <t>GLOSPART</t>
  </si>
  <si>
    <t>Gloucestershire Health and Care NHS Foundation Trust</t>
  </si>
  <si>
    <t>GLOUCESTER</t>
  </si>
  <si>
    <t>Gloucestershire Hospitals NHS Foundation Trust</t>
  </si>
  <si>
    <t>GMWEST</t>
  </si>
  <si>
    <t>Greater Manchester Mental Health NHS Foundation Trust</t>
  </si>
  <si>
    <t>GOSH</t>
  </si>
  <si>
    <t>Great Ormond Street Hospital for Children NHS Foundation Trust</t>
  </si>
  <si>
    <t>GUYS</t>
  </si>
  <si>
    <t>GWSWINDON</t>
  </si>
  <si>
    <t>Great Western Hospitals NHS Foundation Trust</t>
  </si>
  <si>
    <t>HANTSPART</t>
  </si>
  <si>
    <t>Southern Health NHS Foundation Trust</t>
  </si>
  <si>
    <t>HARROGATE</t>
  </si>
  <si>
    <t>Harrogate and District NHS Foundation Trust</t>
  </si>
  <si>
    <t>HERTSCOMM</t>
  </si>
  <si>
    <t>Hertfordshire Community NHS Trust</t>
  </si>
  <si>
    <t>HERTSPART</t>
  </si>
  <si>
    <t>Hertfordshire Partnership University NHS Foundation Trust</t>
  </si>
  <si>
    <t>HILLINGDON</t>
  </si>
  <si>
    <t>The Hillingdon Hospitals NHS Foundation Trust</t>
  </si>
  <si>
    <t>HOMERTON</t>
  </si>
  <si>
    <t>Homerton University Hospital NHS Foundation Trust</t>
  </si>
  <si>
    <t>HOUNSLOWCOMM</t>
  </si>
  <si>
    <t>Hounslow and Richmond Community Healthcare NHS Trust</t>
  </si>
  <si>
    <t>HULL</t>
  </si>
  <si>
    <t>Hull University Teaching Hospitals NHS Trust</t>
  </si>
  <si>
    <t>HUMBER</t>
  </si>
  <si>
    <t>Humber Teaching NHS Foundation Trust</t>
  </si>
  <si>
    <t>IMPERIAL</t>
  </si>
  <si>
    <t>Imperial College Healthcare NHS Trust</t>
  </si>
  <si>
    <t>ISLEOFWIGHT</t>
  </si>
  <si>
    <t>Isle of Wight NHS Trust</t>
  </si>
  <si>
    <t>JAMESPAGET</t>
  </si>
  <si>
    <t>James Paget University Hospitals NHS Foundation Trust</t>
  </si>
  <si>
    <t>KENTCOMM</t>
  </si>
  <si>
    <t>Kent Community Health NHS Foundation Trust</t>
  </si>
  <si>
    <t>KENTMEDWAY</t>
  </si>
  <si>
    <t>Kent and Medway NHS and Social Care Partnership Trust</t>
  </si>
  <si>
    <t>KETTERING</t>
  </si>
  <si>
    <t>Kettering General Hospital NHS Foundation Trust</t>
  </si>
  <si>
    <t>KINGS</t>
  </si>
  <si>
    <t>KINGSLYNN</t>
  </si>
  <si>
    <t>KINGSTON</t>
  </si>
  <si>
    <t>Kingston Hospital NHS Foundation Trust</t>
  </si>
  <si>
    <t>LANCASHIRECARE</t>
  </si>
  <si>
    <t>Lancashire and South Cumbria NHS Foundation Trust</t>
  </si>
  <si>
    <t>LANCSTEACH</t>
  </si>
  <si>
    <t>Lancashire Teaching Hospitals NHS Foundation Trust</t>
  </si>
  <si>
    <t>LEEDS</t>
  </si>
  <si>
    <t>Leeds and York Partnership NHS Foundation Trust</t>
  </si>
  <si>
    <t>LEEDSCOMM</t>
  </si>
  <si>
    <t>Leeds Community Healthcare NHS Trust</t>
  </si>
  <si>
    <t>LEEDSTEACH</t>
  </si>
  <si>
    <t>LEICESTER</t>
  </si>
  <si>
    <t>University Hospitals of Leicester NHS Trust</t>
  </si>
  <si>
    <t>LEICESTERPART</t>
  </si>
  <si>
    <t>Leicestershire Partnership NHS Trust</t>
  </si>
  <si>
    <t>LEWISHAM</t>
  </si>
  <si>
    <t>Lewisham and Greenwich NHS Trust</t>
  </si>
  <si>
    <t>LINCSCOMM</t>
  </si>
  <si>
    <t>Lincolnshire Community Health Services NHS Trust</t>
  </si>
  <si>
    <t>LINCSPART</t>
  </si>
  <si>
    <t>Lincolnshire Partnership NHS Foundation Trust</t>
  </si>
  <si>
    <t>LIVERPOOLHEART</t>
  </si>
  <si>
    <t>Liverpool Heart and Chest Hospital NHS Foundation Trust</t>
  </si>
  <si>
    <t>LIVERPOOLWOMEN</t>
  </si>
  <si>
    <t>Liverpool Women's NHS Foundation Trust</t>
  </si>
  <si>
    <t>LONDONAMB</t>
  </si>
  <si>
    <t>London Ambulance Service NHS Trust</t>
  </si>
  <si>
    <t>LUTON</t>
  </si>
  <si>
    <t>Bedfordshire Hospitals NHS Foundation Trust</t>
  </si>
  <si>
    <t>MAIDSTONE</t>
  </si>
  <si>
    <t>MANUNI</t>
  </si>
  <si>
    <t>Manchester University NHS Foundation Trust</t>
  </si>
  <si>
    <t>MEDWAY</t>
  </si>
  <si>
    <t>Medway NHS Foundation Trust</t>
  </si>
  <si>
    <t>MERSEYCARE</t>
  </si>
  <si>
    <t>MIDCHESHIRE</t>
  </si>
  <si>
    <t>Mid Cheshire Hospitals NHS Foundation Trust</t>
  </si>
  <si>
    <t>MIDYORKS</t>
  </si>
  <si>
    <t>MILTONKEYNES</t>
  </si>
  <si>
    <t>Milton Keynes University Hospital NHS Foundation Trust</t>
  </si>
  <si>
    <t>MOORFIELDS</t>
  </si>
  <si>
    <t>Moorfields Eye Hospital NHS Foundation Trust</t>
  </si>
  <si>
    <t>MORECAMBEBAY</t>
  </si>
  <si>
    <t>University Hospitals of Morecambe Bay NHS Foundation Trust</t>
  </si>
  <si>
    <t>NELONDON</t>
  </si>
  <si>
    <t>North East London NHS Foundation Trust</t>
  </si>
  <si>
    <t>NEWCASTLE</t>
  </si>
  <si>
    <t>The Newcastle Upon Tyne Hospitals NHS Foundation Trust</t>
  </si>
  <si>
    <t>NLAG</t>
  </si>
  <si>
    <t>Northern Lincolnshire and Goole NHS Foundation Trust</t>
  </si>
  <si>
    <t>NMIDDLESEX</t>
  </si>
  <si>
    <t>North Middlesex University Hospital NHS Trust</t>
  </si>
  <si>
    <t>NORFOLKCOMM</t>
  </si>
  <si>
    <t>Norfolk Community Health and Care NHS Trust</t>
  </si>
  <si>
    <t>NORTHAMPTON</t>
  </si>
  <si>
    <t>Northampton General Hospital NHS Trust</t>
  </si>
  <si>
    <t>NORTHANTSCARE</t>
  </si>
  <si>
    <t>Northamptonshire Healthcare NHS Foundation Trust</t>
  </si>
  <si>
    <t>NORTHBRISTOL</t>
  </si>
  <si>
    <t>North Bristol NHS Trust</t>
  </si>
  <si>
    <t>NORTHDEVONCARE</t>
  </si>
  <si>
    <t>Northern Devon Healthcare NHS Trust</t>
  </si>
  <si>
    <t>NORTHEASTAMB</t>
  </si>
  <si>
    <t>North East Ambulance Service NHS Foundation Trust</t>
  </si>
  <si>
    <t>NORTHMIDLANDS</t>
  </si>
  <si>
    <t>University Hospitals of North Midlands NHS Trust</t>
  </si>
  <si>
    <t>NORTHSTAFFS</t>
  </si>
  <si>
    <t>North Staffordshire Combined Healthcare NHS Trust</t>
  </si>
  <si>
    <t>NORTHTEES</t>
  </si>
  <si>
    <t>North Tees and Hartlepool NHS Foundation Trust</t>
  </si>
  <si>
    <t>NORTHUMBERLAND</t>
  </si>
  <si>
    <t>Cumbria, Northumberland, Tyne and Wear NHS Foundation Trust</t>
  </si>
  <si>
    <t>NORTHUMBRIA</t>
  </si>
  <si>
    <t>Northumbria Healthcare NHS Foundation Trust</t>
  </si>
  <si>
    <t>NORWAVE</t>
  </si>
  <si>
    <t>Norfolk and Suffolk NHS Foundation Trust</t>
  </si>
  <si>
    <t>NORWICH</t>
  </si>
  <si>
    <t>Norfolk and Norwich University Hospitals NHS Foundation Trust</t>
  </si>
  <si>
    <t>NOTTINGHAM</t>
  </si>
  <si>
    <t>Nottingham University Hospitals NHS Trust</t>
  </si>
  <si>
    <t>NOTTSHEALTH</t>
  </si>
  <si>
    <t>Nottinghamshire Healthcare NHS Foundation Trust</t>
  </si>
  <si>
    <t>NWESTAMB</t>
  </si>
  <si>
    <t>North West Ambulance Service NHS Trust</t>
  </si>
  <si>
    <t>NWLONDON</t>
  </si>
  <si>
    <t>London North West University Healthcare NHS Trust</t>
  </si>
  <si>
    <t>OXBUCKS</t>
  </si>
  <si>
    <t>Oxford Health NHS Foundation Trust</t>
  </si>
  <si>
    <t>OXFORD</t>
  </si>
  <si>
    <t>Oxford University Hospitals NHS Foundation Trust</t>
  </si>
  <si>
    <t>OXLEAS</t>
  </si>
  <si>
    <t>Oxleas NHS Foundation Trust</t>
  </si>
  <si>
    <t>PAPWORTH</t>
  </si>
  <si>
    <t>Royal Papworth Hospital NHS Foundation Trust</t>
  </si>
  <si>
    <t>PENNINE</t>
  </si>
  <si>
    <t>PENNINECARE</t>
  </si>
  <si>
    <t>Pennine Care NHS Foundation Trust</t>
  </si>
  <si>
    <t>PETERBOROUGH</t>
  </si>
  <si>
    <t>North West Anglia NHS Foundation Trust</t>
  </si>
  <si>
    <t>PLYMOUTH</t>
  </si>
  <si>
    <t>PORTSMOUTH</t>
  </si>
  <si>
    <t>Portsmouth Hospitals University NHS Trust</t>
  </si>
  <si>
    <t>PRINCESSALEX</t>
  </si>
  <si>
    <t>The Princess Alexandra Hospital NHS Trust</t>
  </si>
  <si>
    <t>QVH</t>
  </si>
  <si>
    <t>Queen Victoria Hospital NHS Foundation Trust</t>
  </si>
  <si>
    <t>RDASH</t>
  </si>
  <si>
    <t>Rotherham Doncaster and South Humber NHS Foundation Trust</t>
  </si>
  <si>
    <t>RDE</t>
  </si>
  <si>
    <t>Royal Devon and Exeter NHS Foundation Trust</t>
  </si>
  <si>
    <t>RJAH</t>
  </si>
  <si>
    <t>The Robert Jones and Agnes Hunt Orthopaedic Hospital NHS Foundation Trust</t>
  </si>
  <si>
    <t>RNOH</t>
  </si>
  <si>
    <t>Royal National Orthopaedic Hospital NHS Trust</t>
  </si>
  <si>
    <t>ROH</t>
  </si>
  <si>
    <t>The Royal Orthopaedic Hospital NHS Foundation Trust</t>
  </si>
  <si>
    <t>ROTHERHAM</t>
  </si>
  <si>
    <t>The Rotherham NHS Foundation Trust</t>
  </si>
  <si>
    <t>ROYALBERKSHIRE</t>
  </si>
  <si>
    <t>Royal Berkshire NHS Foundation Trust</t>
  </si>
  <si>
    <t>ROYALCORNWALL</t>
  </si>
  <si>
    <t>Royal Cornwall Hospitals NHS Trust</t>
  </si>
  <si>
    <t>ROYALFREE</t>
  </si>
  <si>
    <t>Royal Free London NHS Foundation Trust</t>
  </si>
  <si>
    <t>ROYALMARSDEN</t>
  </si>
  <si>
    <t>The Royal Marsden NHS Foundation Trust</t>
  </si>
  <si>
    <t>ROYALSURREY</t>
  </si>
  <si>
    <t>Royal Surrey NHS Foundation Trust</t>
  </si>
  <si>
    <t>RUHBATH</t>
  </si>
  <si>
    <t>Royal United Hospitals Bath NHS Foundation Trust</t>
  </si>
  <si>
    <t>SALFORD</t>
  </si>
  <si>
    <t>Salford Royal NHS Foundation Trust</t>
  </si>
  <si>
    <t>SALISBURY</t>
  </si>
  <si>
    <t>Salisbury NHS Foundation Trust</t>
  </si>
  <si>
    <t>SANDWELL</t>
  </si>
  <si>
    <t>Sandwell And West Birmingham Hospitals NHS Trust</t>
  </si>
  <si>
    <t>SANDWELLCARE</t>
  </si>
  <si>
    <t>Black Country Healthcare NHS Foundation Trust</t>
  </si>
  <si>
    <t>SCENTRALAMB</t>
  </si>
  <si>
    <t>South Central Ambulance Service NHS Foundation Trust</t>
  </si>
  <si>
    <t>SECOASTAMB</t>
  </si>
  <si>
    <t>South East Coast Ambulance Service NHS Foundation Trust</t>
  </si>
  <si>
    <t>SHEFFIELDCHILD</t>
  </si>
  <si>
    <t>Sheffield Children's NHS Foundation Trust</t>
  </si>
  <si>
    <t>SHEFFIELDHEALTH</t>
  </si>
  <si>
    <t>Sheffield Health and Social Care NHS Foundation Trust</t>
  </si>
  <si>
    <t>SHEFFIELDTEACH</t>
  </si>
  <si>
    <t>Sheffield Teaching Hospitals NHS Foundation Trust</t>
  </si>
  <si>
    <t>SHERWOOD</t>
  </si>
  <si>
    <t>Sherwood Forest Hospitals NHS Foundation Trust</t>
  </si>
  <si>
    <t>SHREWSBURY</t>
  </si>
  <si>
    <t>SHROPSHIRECOMM</t>
  </si>
  <si>
    <t>Shropshire Community Health NHS Trust</t>
  </si>
  <si>
    <t>SLAM</t>
  </si>
  <si>
    <t>South London and Maudsley NHS Foundation Trust</t>
  </si>
  <si>
    <t>SOLENT</t>
  </si>
  <si>
    <t>Solent NHS Trust</t>
  </si>
  <si>
    <t>SOMERSETPART</t>
  </si>
  <si>
    <t>Somerset NHS Foundation Trust</t>
  </si>
  <si>
    <t>SOUTHAMPTON</t>
  </si>
  <si>
    <t>University Hospital Southampton NHS Foundation Trust</t>
  </si>
  <si>
    <t>SOUTHDEVON</t>
  </si>
  <si>
    <t>Torbay and South Devon NHS Foundation Trust</t>
  </si>
  <si>
    <t>SOUTHEND</t>
  </si>
  <si>
    <t>Mid and South Essex NHS Foundation Trust</t>
  </si>
  <si>
    <t>SOUTHPORT</t>
  </si>
  <si>
    <t>Southport And Ormskirk Hospital NHS Trust</t>
  </si>
  <si>
    <t>SOUTHSTAFFS</t>
  </si>
  <si>
    <t>Midlands Partnership NHS Foundation Trust</t>
  </si>
  <si>
    <t>SOUTHTEES</t>
  </si>
  <si>
    <t>South Tees Hospitals NHS Foundation Trust</t>
  </si>
  <si>
    <t>STGEORGES</t>
  </si>
  <si>
    <t>St George's University Hospitals NHS Foundation Trust</t>
  </si>
  <si>
    <t>STHELENS</t>
  </si>
  <si>
    <t>STOCKPORT</t>
  </si>
  <si>
    <t>Stockport NHS Foundation Trust</t>
  </si>
  <si>
    <t>SURREYPART</t>
  </si>
  <si>
    <t>Surrey and Borders Partnership NHS Foundation Trust</t>
  </si>
  <si>
    <t>SURREYSUSSEX</t>
  </si>
  <si>
    <t>SUSSEXCOMM</t>
  </si>
  <si>
    <t>Sussex Community NHS Foundation Trust</t>
  </si>
  <si>
    <t>SUSSEXPART</t>
  </si>
  <si>
    <t>Sussex Partnership NHS Foundation Trust</t>
  </si>
  <si>
    <t>SWARKS</t>
  </si>
  <si>
    <t>South Warwickshire NHS Foundation Trust</t>
  </si>
  <si>
    <t>SWESTAMB</t>
  </si>
  <si>
    <t>South Western Ambulance Service NHS Foundation Trust</t>
  </si>
  <si>
    <t>SWLONDON</t>
  </si>
  <si>
    <t>South West London and St George's Mental Health NHS Trust</t>
  </si>
  <si>
    <t>SWYORKSPART</t>
  </si>
  <si>
    <t>South West Yorkshire Partnership NHS Foundation Trust</t>
  </si>
  <si>
    <t>TAMESIDE</t>
  </si>
  <si>
    <t>Tameside and Glossop Integrated Care NHS Foundation Trust</t>
  </si>
  <si>
    <t>TAVIPORT</t>
  </si>
  <si>
    <t>Tavistock and Portman NHS Foundation Trust</t>
  </si>
  <si>
    <t>TEWVALLEYS</t>
  </si>
  <si>
    <t>Tees, Esk and Wear Valleys NHS Foundation Trust</t>
  </si>
  <si>
    <t>TYNESIDE</t>
  </si>
  <si>
    <t>South Tyneside and Sunderland NHS Foundation Trust</t>
  </si>
  <si>
    <t>UCLH</t>
  </si>
  <si>
    <t>University College London Hospitals NHS Foundation Trust</t>
  </si>
  <si>
    <t>UHB</t>
  </si>
  <si>
    <t>University Hospitals Birmingham NHS Foundation Trust</t>
  </si>
  <si>
    <t>UNITEDLINCS</t>
  </si>
  <si>
    <t>United Lincolnshire Hospitals NHS Trust</t>
  </si>
  <si>
    <t>WALSALL</t>
  </si>
  <si>
    <t>Walsall Healthcare NHS Trust</t>
  </si>
  <si>
    <t>WALTON</t>
  </si>
  <si>
    <t>The Walton Centre NHS Foundation Trust</t>
  </si>
  <si>
    <t>WARRINGTON</t>
  </si>
  <si>
    <t>Warrington and Halton Teaching Hospitals NHS Foundation Trust</t>
  </si>
  <si>
    <t>WESTERNSUSSEX</t>
  </si>
  <si>
    <t>WESTHERTS</t>
  </si>
  <si>
    <t>WESTLONDON</t>
  </si>
  <si>
    <t>West London NHS Trust</t>
  </si>
  <si>
    <t>WESTMIDLANDSAMB</t>
  </si>
  <si>
    <t>West Midlands Ambulance Service University NHS Foundation Trust</t>
  </si>
  <si>
    <t>WESTSUFFOLK</t>
  </si>
  <si>
    <t>West Suffolk NHS Foundation Trust</t>
  </si>
  <si>
    <t>WHITTINGTON</t>
  </si>
  <si>
    <t>WIGAN</t>
  </si>
  <si>
    <t>Wrightington, Wigan and Leigh NHS Foundation Trust</t>
  </si>
  <si>
    <t>WIRRAL</t>
  </si>
  <si>
    <t>Wirral University Teaching Hospital NHS Foundation Trust</t>
  </si>
  <si>
    <t>WIRRALCOMM</t>
  </si>
  <si>
    <t>Wirral Community Health and Care NHS Foundation Trust</t>
  </si>
  <si>
    <t>WOLVERHAMPTON</t>
  </si>
  <si>
    <t>The Royal Wolverhampton NHS Trust</t>
  </si>
  <si>
    <t>WORCESTERSHIRE</t>
  </si>
  <si>
    <t>Worcestershire Acute Hospitals NHS Trust</t>
  </si>
  <si>
    <t>WORCSHEALTH</t>
  </si>
  <si>
    <t>Herefordshire and Worcestershire Health and Care NHS Trust</t>
  </si>
  <si>
    <t>WYEVALLEY</t>
  </si>
  <si>
    <t>Wye Valley NHS Trust</t>
  </si>
  <si>
    <t>YEOVIL</t>
  </si>
  <si>
    <t>Yeovil District Hospital NHS Foundation Trust</t>
  </si>
  <si>
    <t>YORKHOSPITAL</t>
  </si>
  <si>
    <t>YORKSHIREAMB</t>
  </si>
  <si>
    <t>Yorkshire Ambulance Service NHS Trust</t>
  </si>
  <si>
    <t>Foreword to the accounts</t>
  </si>
  <si>
    <t>Signed</t>
  </si>
  <si>
    <t>…………………………………………….</t>
  </si>
  <si>
    <t>Name</t>
  </si>
  <si>
    <t>Job title</t>
  </si>
  <si>
    <t>Date</t>
  </si>
  <si>
    <t>Consolidated Statement of Comprehensive Income</t>
  </si>
  <si>
    <t>Group</t>
  </si>
  <si>
    <t>Note</t>
  </si>
  <si>
    <t>£000</t>
  </si>
  <si>
    <t>Operating income from patient care activities</t>
  </si>
  <si>
    <t xml:space="preserve">Other operating income </t>
  </si>
  <si>
    <t xml:space="preserve">Operating expenses </t>
  </si>
  <si>
    <t>Finance income</t>
  </si>
  <si>
    <t>Finance expenses</t>
  </si>
  <si>
    <t>PDC dividends payable</t>
  </si>
  <si>
    <t>Net finance costs</t>
  </si>
  <si>
    <t>Other gains / (losses)</t>
  </si>
  <si>
    <t>Gains / (losses) arising from transfers by absorption</t>
  </si>
  <si>
    <t>Corporation tax expense</t>
  </si>
  <si>
    <t>Surplus / (deficit) on discontinued operations and the gain / (loss) on disposal of discontinued operations</t>
  </si>
  <si>
    <t>Surplus / (deficit) for the year</t>
  </si>
  <si>
    <t>Other comprehensive income</t>
  </si>
  <si>
    <t>Will not be reclassified to income and expenditure:</t>
  </si>
  <si>
    <t xml:space="preserve">Impairments </t>
  </si>
  <si>
    <t xml:space="preserve">Revaluations </t>
  </si>
  <si>
    <t>Share of comprehensive income from associates and joint ventures</t>
  </si>
  <si>
    <t>Fair value gains / (losses) on equity instruments designated at fair value through OCI</t>
  </si>
  <si>
    <t>Other recognised gains and losses</t>
  </si>
  <si>
    <t>Remeasurements of the net defined benefit pension scheme liability / asset</t>
  </si>
  <si>
    <t>Gain / (loss) arising from on transfers by modified absorption</t>
  </si>
  <si>
    <t>Other reserve movements</t>
  </si>
  <si>
    <t>May be reclassified to income and expenditure when certain conditions are met:</t>
  </si>
  <si>
    <t>Fair value gains/(losses) on financial assets mandated at fair value through OCI</t>
  </si>
  <si>
    <t>Recycling gains/(losses) on disposal of financial assets mandated at fair value through OCI</t>
  </si>
  <si>
    <t>Foreign exchange gains / (losses) recognised directly in OCI</t>
  </si>
  <si>
    <t>Surplus/ (deficit) for the period attributable to:</t>
  </si>
  <si>
    <t>Non-controlling interest, and</t>
  </si>
  <si>
    <t>TOTAL</t>
  </si>
  <si>
    <t>Total comprehensive income/ (expense) for the period attributable to:</t>
  </si>
  <si>
    <t>Optional for NHS trusts</t>
  </si>
  <si>
    <t>Note to preparer - this table is no longer a requirement of the GAM and has never been required for FTs however for NHS Trusts this table will assist in understanding the breakeven duty disclosure</t>
  </si>
  <si>
    <t>Adjusted financial performance (control total basis):</t>
  </si>
  <si>
    <t>Surplus / (deficit) for the period</t>
  </si>
  <si>
    <t>Note to preparer - prior year surplus / deficit here is as per prior year audited accounts. It should not be updated for prior period adjustments. Such adjustments score to current year performance.</t>
  </si>
  <si>
    <t>Remove impact of consolidating NHS charitable fund</t>
  </si>
  <si>
    <t>Remove net impairments not scoring to the Departmental expenditure limit</t>
  </si>
  <si>
    <t>Remove (gains) / losses on transfers by absorption</t>
  </si>
  <si>
    <t>Remove I&amp;E impact of capital grants and donations</t>
  </si>
  <si>
    <t>Prior period adjustments</t>
  </si>
  <si>
    <t>Remove non-cash element of on-SoFP pension costs</t>
  </si>
  <si>
    <t>Remove net impact of inventories received from DHSC group bodies for COVID response</t>
  </si>
  <si>
    <t>Remove loss recognised on return of donated COVID assets to DHSC</t>
  </si>
  <si>
    <t>Adjusted financial performance surplus / (deficit)</t>
  </si>
  <si>
    <t>Statements of Financial Position</t>
  </si>
  <si>
    <t>Non-current assets</t>
  </si>
  <si>
    <t>Intangible assets</t>
  </si>
  <si>
    <t>Property, plant and equipment</t>
  </si>
  <si>
    <t>Investment property</t>
  </si>
  <si>
    <t>Investments in associates and joint ventures</t>
  </si>
  <si>
    <t>Other investments / financial assets</t>
  </si>
  <si>
    <t>Receivables</t>
  </si>
  <si>
    <t>Other assets</t>
  </si>
  <si>
    <t>Total non-current assets</t>
  </si>
  <si>
    <t>Current assets</t>
  </si>
  <si>
    <t>Inventories</t>
  </si>
  <si>
    <t xml:space="preserve">Other assets </t>
  </si>
  <si>
    <t>Non-current assets held for sale</t>
  </si>
  <si>
    <t>Cash and cash equivalents</t>
  </si>
  <si>
    <t>Total current assets</t>
  </si>
  <si>
    <t>Current liabilities</t>
  </si>
  <si>
    <t>Trade and other payables</t>
  </si>
  <si>
    <t>Borrowings</t>
  </si>
  <si>
    <t>Other financial liabilities</t>
  </si>
  <si>
    <t>Provisions</t>
  </si>
  <si>
    <t>Other liabilities</t>
  </si>
  <si>
    <t>Liabilities in disposal groups</t>
  </si>
  <si>
    <t>Total current liabilities</t>
  </si>
  <si>
    <t>Total assets less current liabilities</t>
  </si>
  <si>
    <t>Non-current liabilities</t>
  </si>
  <si>
    <t>Total non-current liabilities</t>
  </si>
  <si>
    <t>Total assets employed</t>
  </si>
  <si>
    <t xml:space="preserve">Financed by </t>
  </si>
  <si>
    <t>Public dividend capital</t>
  </si>
  <si>
    <t>Revaluation reserve</t>
  </si>
  <si>
    <t>Financial assets reserve</t>
  </si>
  <si>
    <t>Other reserves</t>
  </si>
  <si>
    <t>Merger reserve</t>
  </si>
  <si>
    <t>Income and expenditure reserve</t>
  </si>
  <si>
    <t>Non-controlling Interest</t>
  </si>
  <si>
    <t>Charitable fund reserves</t>
  </si>
  <si>
    <t>Total taxpayers' equity</t>
  </si>
  <si>
    <t xml:space="preserve">Name </t>
  </si>
  <si>
    <t>Position</t>
  </si>
  <si>
    <t>Financial assets  reserve</t>
  </si>
  <si>
    <t>Non-controlling interest</t>
  </si>
  <si>
    <t>Total</t>
  </si>
  <si>
    <t xml:space="preserve">£000 </t>
  </si>
  <si>
    <t xml:space="preserve">At start of period for new FTs </t>
  </si>
  <si>
    <t>Hide</t>
  </si>
  <si>
    <t>Gain/(loss) arising from transfers by modified absorption</t>
  </si>
  <si>
    <t>Transfers by absorption: transfers between reserves</t>
  </si>
  <si>
    <t>Transfer from revaluation reserve to income and expenditure reserve for impairments arising from consumption of economic benefits</t>
  </si>
  <si>
    <t>Other transfers between reserves</t>
  </si>
  <si>
    <t>Impairments</t>
  </si>
  <si>
    <t>Revaluations and impairments - charitable fund assets</t>
  </si>
  <si>
    <t>Transfer to retained earnings on disposal of assets</t>
  </si>
  <si>
    <t>Fair value gains/(losses) on equity instruments designated at fair value through OCI</t>
  </si>
  <si>
    <t>Remeasurements of the defined net benefit pension scheme liability/asset</t>
  </si>
  <si>
    <t>Public dividend capital received</t>
  </si>
  <si>
    <t>Public dividend capital repaid</t>
  </si>
  <si>
    <t>Public dividend capital written off</t>
  </si>
  <si>
    <t>Other movements in public dividend capital in year</t>
  </si>
  <si>
    <t>Prior period adjustment</t>
  </si>
  <si>
    <t>Statements of Cash Flows</t>
  </si>
  <si>
    <t>Cash flows from operating activities</t>
  </si>
  <si>
    <t>Non-cash income and expense:</t>
  </si>
  <si>
    <t>Depreciation and amortisation</t>
  </si>
  <si>
    <t>Net impairments</t>
  </si>
  <si>
    <t>Income recognised in respect of capital donations</t>
  </si>
  <si>
    <t>Amortisation of PFI deferred credit</t>
  </si>
  <si>
    <t>Non-cash movements in on-SoFP pension liability</t>
  </si>
  <si>
    <t>(Increase) / decrease in receivables and other assets</t>
  </si>
  <si>
    <t>Movements in charitable fund working capital</t>
  </si>
  <si>
    <t>Tax (paid) / received</t>
  </si>
  <si>
    <t>Operating cash flows from discontinued operations</t>
  </si>
  <si>
    <t>Other movements in operating cash flows</t>
  </si>
  <si>
    <t>Cash flows from investing activities</t>
  </si>
  <si>
    <t>Interest received</t>
  </si>
  <si>
    <t>Purchase of intangible assets</t>
  </si>
  <si>
    <t>Sales of intangible assets</t>
  </si>
  <si>
    <t>Purchase of PPE and investment property</t>
  </si>
  <si>
    <t>Sales of PPE and investment property</t>
  </si>
  <si>
    <t>Receipt of cash donations to purchase assets</t>
  </si>
  <si>
    <t>Prepayment of PFI capital contributions</t>
  </si>
  <si>
    <t>Net cash flows from charitable fund investing activities</t>
  </si>
  <si>
    <t>Investing cash flows from discontinued operations</t>
  </si>
  <si>
    <t>Cash from acquisitions / disposals of subsidiaries</t>
  </si>
  <si>
    <t>Cash flows from financing activities</t>
  </si>
  <si>
    <t>Movement on loans from DHSC</t>
  </si>
  <si>
    <t>Movement on other loans</t>
  </si>
  <si>
    <t>Other capital receipts</t>
  </si>
  <si>
    <t xml:space="preserve">Capital element of finance lease rental payments </t>
  </si>
  <si>
    <t>Capital element of PFI, LIFT and other service concession payments</t>
  </si>
  <si>
    <t>Interest on loans</t>
  </si>
  <si>
    <t>Other interest</t>
  </si>
  <si>
    <t>Interest paid on finance lease liabilities</t>
  </si>
  <si>
    <t>Interest paid on PFI, LIFT and other service concession obligations</t>
  </si>
  <si>
    <t>Financing cash flows of discontinued operations</t>
  </si>
  <si>
    <t>Net cash flows from charitable fund financing activities</t>
  </si>
  <si>
    <t>Cash flows from (used in) other financing activities</t>
  </si>
  <si>
    <t>Cash and cash equivalents at 1 April - brought forward</t>
  </si>
  <si>
    <t>Cash and cash equivalents at 1 April - restated</t>
  </si>
  <si>
    <t>Cash and cash equivalents at start of period for new FTs</t>
  </si>
  <si>
    <t>Cash and cash equivalents transferred under absorption accounting</t>
  </si>
  <si>
    <t xml:space="preserve">Cash and cash equivalents at 31 March </t>
  </si>
  <si>
    <t>Notes to the Accounts</t>
  </si>
  <si>
    <t>Accounting convention</t>
  </si>
  <si>
    <t>These accounts have been prepared under the historical cost convention modified to account for the revaluation of property, plant and equipment, intangible assets, inventories and certain financial assets and financial liabilities.</t>
  </si>
  <si>
    <t xml:space="preserve">Where income is derived from contracts with customers, it is accounted for under IFRS 15. The GAM expands the definition of a contract to include legislation and regulations which enables an entity to receive cash or another financial asset that is not classified as a tax by the Office of National Statistics (ONS). </t>
  </si>
  <si>
    <t xml:space="preserve">Revenue in respect of goods/services provided is recognised when (or as) performance obligations are satisfied by transferring promised goods/services to the customer and is measured at the amount of the transaction price allocated to those performance obligations. At the year end, the Trust accrues income relating to performance obligations satisfied in that year. Where the Trust’s entitlement to consideration for those goods or services is unconditional a contract receivable will be recognised. Where entitlement to consideration is conditional on a further factor other than the passage of time, a contract asset will be recognised. Where consideration received or receivable relates to a performance obligation that is to be satisfied in a future period, the income is deferred and recognised as a contract liability. </t>
  </si>
  <si>
    <t>Revenue from NHS contracts</t>
  </si>
  <si>
    <t>Revenue from research contracts</t>
  </si>
  <si>
    <t>Grants and donations</t>
  </si>
  <si>
    <t>Government grants are grants from government bodies other than income from commissioners or trusts for the provision of services. Where a grant is used to fund revenue expenditure it is taken to the Statement of Comprehensive Income to match that expenditure. Where the grants is used to fund capital expenditure, it is credited to the consolidated statement of comprehensive income once conditions attached to the grant have been met. Donations are treated in the same way as government grants.</t>
  </si>
  <si>
    <t>Apprenticeship service income</t>
  </si>
  <si>
    <t>The value of the benefit received when accessing funds from the Government's apprenticeship service is recognised as income at the point of receipt of the training service. Where these funds are paid directly to an accredited training provider from the Trust's Digital Apprenticeship Service (DAS) account held by the Department for Education, the corresponding notional expense is also recognised at the point of recognition for the benefit.</t>
  </si>
  <si>
    <r>
      <rPr>
        <b/>
        <sz val="9"/>
        <color theme="1"/>
        <rFont val="Arial"/>
        <family val="2"/>
      </rPr>
      <t xml:space="preserve">Short-term employee benefits
</t>
    </r>
    <r>
      <rPr>
        <sz val="9"/>
        <color theme="1"/>
        <rFont val="Arial"/>
        <family val="2"/>
      </rPr>
      <t xml:space="preserve">Salaries, wages and employment-related payments such as social security costs and the apprenticeship levy are recognised in the period in which the service is received from employees. The cost of annual leave entitlement earned but not taken by employees at the end of the period is recognised in the financial statements to the extent that employees are permitted to carry-forward leave into the following period.
</t>
    </r>
  </si>
  <si>
    <t xml:space="preserve">Pension costs </t>
  </si>
  <si>
    <r>
      <t xml:space="preserve">
</t>
    </r>
    <r>
      <rPr>
        <i/>
        <sz val="9"/>
        <color theme="1"/>
        <rFont val="Arial"/>
        <family val="2"/>
      </rPr>
      <t xml:space="preserve">NHS Pension Scheme
</t>
    </r>
    <r>
      <rPr>
        <sz val="9"/>
        <color theme="1"/>
        <rFont val="Arial"/>
        <family val="2"/>
      </rPr>
      <t xml:space="preserve">Past and present employees are covered by the provisions of the two NHS Pension Schemes. Both schemes are unfunded, defined benefit schemes that cover NHS employers, general practices and other bodies, allowed under the direction of Secretary of State for Health and Social Care in England and Wales. The scheme is not designed in a way that would enable employers to identify their share of the underlying scheme assets and liabilities. Therefore, the scheme is accounted for as though it is a defined contribution scheme: the cost to the trust is taken as equal to the employer's pension contributions payable to the scheme for the accounting period. The contributions are charged to operating expenses as and when they become due. </t>
    </r>
  </si>
  <si>
    <t xml:space="preserve">
Additional pension liabilities arising from early retirements are not funded by the scheme except where the retirement is due to ill-health. The full amount of the liability for the additional costs is charged to the operating expenses at the time the trust commits itself to the retirement, regardless of the method of payment. </t>
  </si>
  <si>
    <t xml:space="preserve">Expenditure on goods and services is recognised when, and to the extent that they have been received, and is measured at the fair value of those goods and services. Expenditure is recognised in operating expenses except where it results in the creation of a non-current asset such as property, plant and equipment. </t>
  </si>
  <si>
    <t>Recognition</t>
  </si>
  <si>
    <t>Subsequent expenditure</t>
  </si>
  <si>
    <t>Subsequent expenditure relating to an item of property, plant and equipment is recognised as an increase in the carrying amount of the asset when it is probable that additional future economic benefits or service potential deriving from the cost incurred to replace a component of such item will flow to the enterprise and the cost of the item can be determined reliably. Where a component of an asset is replaced, the cost of the replacement is capitalised if it meets the criteria for recognition above. The carrying amount of the part replaced is de-recognised. Other expenditure that does not generate additional future economic benefits or service potential, such as repairs and maintenance, is charged to the Statement of Comprehensive Income in the period in which it is incurred.</t>
  </si>
  <si>
    <t>Measurement</t>
  </si>
  <si>
    <t>Valuation</t>
  </si>
  <si>
    <t xml:space="preserve">
All property, plant and equipment assets are measured initially at cost, representing the costs directly attributable to acquiring or constructing the asset and bringing it to the location and condition necessary for it to be capable of operating in the manner intended by management.</t>
  </si>
  <si>
    <t>Assets are measured subsequently at valuation. Assets which are held for their service potential and are in use (ie operational assets used to deliver either front line services or back office functions) are measured at their current value in existing use. Assets that were most recently held for their service potential but are surplus with no plan to bring them back into use are measured at fair value where there are no restrictions on sale at the reporting date and where they do not meet the definitions of investment properties or assets held for sale.</t>
  </si>
  <si>
    <t>Revaluations of property, plant and equipment are performed with sufficient regularity to ensure that carrying values are not materially different from those that would be determined at the end of the reporting period. Current values in existing use are determined as follows:</t>
  </si>
  <si>
    <t xml:space="preserve">   •  	Land and non-specialised buildings – market value for existing use</t>
  </si>
  <si>
    <t xml:space="preserve">   •  	Specialised buildings – depreciated replacement cost on a modern equivalent asset basis.</t>
  </si>
  <si>
    <t xml:space="preserve">IT equipment, transport equipment, furniture and fittings, and plant and machinery that are held for operational use are valued at depreciated historic cost where these assets have short useful lives or low values or both, as this is not considered to be materially different from current value in existing use. </t>
  </si>
  <si>
    <t>De-recognition</t>
  </si>
  <si>
    <t>Assets intended for disposal are reclassified as ‘held for sale’ once the criteria in IFRS 5 are met. The sale must be highly probable and the asset available for immediate sale in its present condition.</t>
  </si>
  <si>
    <t>Following reclassification, the assets are measured at the lower of their existing carrying amount and their ‘fair value less costs to sell’.  Depreciation ceases to be charged and the assets are not revalued, except where the 'fair value less costs to sell' falls below the carrying amount. Assets are de-recognised when all material sale contract conditions have been met.
Property, plant and equipment which is to be scrapped or demolished does not qualify for recognition as ‘held for sale’ and instead is retained as an operational asset and the asset’s useful life is adjusted. The asset is de-recognised when scrapping or demolition occurs.</t>
  </si>
  <si>
    <t>Donated and grant funded assets</t>
  </si>
  <si>
    <t xml:space="preserve">
Donated and grant funded property, plant and equipment assets are capitalised at their fair value on receipt. The donation/grant is credited to income at the same time, unless the donor has imposed a condition that the future economic benefits embodied in the grant are to be consumed in a manner specified by the donor, in which case, the donation/grant is deferred within liabilities and is carried forward to future financial years to the extent that the condition has not yet been met.</t>
  </si>
  <si>
    <t xml:space="preserve">
The donated and grant funded assets are subsequently accounted for in the same manner as other items of property, plant and equipment. </t>
  </si>
  <si>
    <t xml:space="preserve">Useful lives of property, plant and equipment </t>
  </si>
  <si>
    <t>Useful lives reflect the total life of an asset and not the remaining life of an asset. The range of useful lives are shown in the table below:</t>
  </si>
  <si>
    <t>Min life</t>
  </si>
  <si>
    <t>Max life</t>
  </si>
  <si>
    <t>Years</t>
  </si>
  <si>
    <t>Land</t>
  </si>
  <si>
    <t>Buildings, excluding dwellings</t>
  </si>
  <si>
    <t>Dwellings</t>
  </si>
  <si>
    <t>Plant &amp; machinery</t>
  </si>
  <si>
    <t>Transport equipment</t>
  </si>
  <si>
    <t>Information technology</t>
  </si>
  <si>
    <t>Furniture &amp; fittings</t>
  </si>
  <si>
    <t>Finance-leased assets (including land) are depreciated over the shorter of the useful life or the lease term, unless the trust expects to acquire the asset at the end of the lease term in which case the assets are depreciated in the same manner as owned assets above.</t>
  </si>
  <si>
    <t xml:space="preserve">Intangible assets are non-monetary assets without physical substance which are capable of being sold separately from the rest of the trust’s business or which arise from contractual or other legal rights. They are recognised only where it is probable that future economic benefits will flow to, or service potential be provided to, the trust and where the cost of the asset can be measured reliably. </t>
  </si>
  <si>
    <r>
      <rPr>
        <i/>
        <sz val="9"/>
        <color theme="1"/>
        <rFont val="Arial"/>
        <family val="2"/>
      </rPr>
      <t xml:space="preserve">Internally generated intangible assets
</t>
    </r>
    <r>
      <rPr>
        <sz val="9"/>
        <color theme="1"/>
        <rFont val="Arial"/>
        <family val="2"/>
      </rPr>
      <t xml:space="preserve">
Internally generated goodwill, brands, mastheads, publishing titles, customer lists and similar items are not capitalised as intangible assets.
Expenditure on research is not capitalised. Expenditure on development is capitalised where it meets the requirements set out in IAS 38.</t>
    </r>
  </si>
  <si>
    <r>
      <rPr>
        <i/>
        <sz val="9"/>
        <color theme="1"/>
        <rFont val="Arial"/>
        <family val="2"/>
      </rPr>
      <t xml:space="preserve">Software
</t>
    </r>
    <r>
      <rPr>
        <sz val="9"/>
        <color theme="1"/>
        <rFont val="Arial"/>
        <family val="2"/>
      </rPr>
      <t xml:space="preserve">
Software which is integral to the operation of hardware, eg an operating system, is capitalised as part of the relevant item of property, plant and equipment. Software which is not integral to the operation of hardware, eg application software, is capitalised as an intangible asset.</t>
    </r>
  </si>
  <si>
    <t>Intangible assets are recognised initially at cost, comprising all directly attributable costs needed to create, produce and prepare the asset to the point that it is capable of operating in the manner intended by management.</t>
  </si>
  <si>
    <t>Subsequently intangible assets are measured at current value in existing use. Where no active market exists, intangible assets are valued at the lower of depreciated replacement cost and the value in use where the asset is income generating. Revaluations gains and losses and impairments are treated in the same manner as for property, plant and equipment. An intangible asset which is surplus with no plan to bring it back into use is valued at fair value where there are no restrictions on sale at the reporting date and where they do not meet the definitions of investment properties or assets held for sale.
Intangible assets held for sale are measured at the lower of their carrying amount or fair value less costs to sell.</t>
  </si>
  <si>
    <r>
      <rPr>
        <i/>
        <sz val="9"/>
        <color theme="1"/>
        <rFont val="Arial"/>
        <family val="2"/>
      </rPr>
      <t xml:space="preserve">Amortisation
</t>
    </r>
    <r>
      <rPr>
        <sz val="9"/>
        <color theme="1"/>
        <rFont val="Arial"/>
        <family val="2"/>
      </rPr>
      <t xml:space="preserve">
Intangible assets are amortised over their expected useful lives in a manner consistent with the consumption of economic or service delivery benefits.</t>
    </r>
  </si>
  <si>
    <t xml:space="preserve">Useful lives of intangible assets </t>
  </si>
  <si>
    <t xml:space="preserve">
Useful lives reflect the total life of an asset and not the remaining life of an asset.  The range of useful lives are shown in the table below:</t>
  </si>
  <si>
    <t>Development expenditure</t>
  </si>
  <si>
    <t>Websites</t>
  </si>
  <si>
    <t>Software licences</t>
  </si>
  <si>
    <t>Licences &amp; trademarks</t>
  </si>
  <si>
    <t>Patents</t>
  </si>
  <si>
    <t>Other (purchased)</t>
  </si>
  <si>
    <t>Goodwill</t>
  </si>
  <si>
    <t>Cash is cash in hand and deposits with any financial institution repayable without penalty on notice of not more than 24 hours. Cash equivalents are investments that mature in 3 months or less from the date of acquisition and that are readily convertible to known amounts of cash with insignificant risk of change in value.
In the Statement of Cash Flows, cash and cash equivalents are shown net of bank overdrafts that are repayable on demand and that form an integral part of the Trust’s cash management. Cash, bank and overdraft balances are recorded at current values.</t>
  </si>
  <si>
    <t>Financial assets and financial liabilities arise where the Trust is party to the contractual provisions of a financial instrument, and as a result has a legal right to receive or a legal obligation to pay cash or another financial instrument. The GAM expands the definition of a contract to include legislation and regulations which give rise to arrangements that in all other respects would be a financial instrument and do not give rise to transactions classified as a tax by ONS.</t>
  </si>
  <si>
    <t>This includes the purchase or sale of non-financial items (such as goods or services), which are entered into in accordance with the Trust’s normal purchase, sale or usage requirements and are recognised when, and to the extent which, performance occurs, ie, when receipt or delivery of the goods or services is made.</t>
  </si>
  <si>
    <t>Classification and measurement</t>
  </si>
  <si>
    <t>Financial assets and financial liabilities are initially measured at fair value plus or minus directly attributable transaction costs except where the asset or liability is not measured at fair value through income and expenditure. Fair value is taken as the transaction price, or otherwise determined by reference to quoted market prices or valuation techniques.</t>
  </si>
  <si>
    <t>Financial assets or financial liabilities in respect of assets acquired or disposed of through finance leases are recognised and measured in accordance with the accounting policy for leases described below.</t>
  </si>
  <si>
    <t>Financial assets and financial liabilities at amortised cost</t>
  </si>
  <si>
    <t>After initial recognition, these financial assets and financial liabilities are measured at amortised cost using the effective interest method less any impairment (for financial assets). The effective interest rate is the rate that exactly discounts estimated future cash payments or receipts through the expected life of the financial asset or financial liability to the gross carrying amount of a financial asset or to the amortised cost of a financial liability.</t>
  </si>
  <si>
    <t>Financial assets measured at fair value through other comprehensive income</t>
  </si>
  <si>
    <t>Financial assets and financial liabilities at fair value through income and expenditure</t>
  </si>
  <si>
    <t xml:space="preserve">Financial assets measured at fair value through profit or loss are those that are not otherwise measured at amortised cost or at fair value through other comprehensive income. This category also includes financial assets and liabilities acquired principally for the purpose of selling in the short term (held for trading) and derivatives. Derivatives which are embedded in other contracts, but which are separable from the host contract are measured within this category. Movements in the fair value of financial assets and liabilities in this category are recognised as gains or losses in the Statement of Comprehensive income. </t>
  </si>
  <si>
    <t>Impairment of financial assets</t>
  </si>
  <si>
    <t>The Trust adopts the simplified approach to impairment for contract and other receivables, contract assets and lease receivables, measuring expected losses as at an amount equal to lifetime expected losses. For other financial assets, the loss allowance is initially measured at an amount equal to 12-month expected credit losses (stage 1) and subsequently at an amount equal to lifetime expected credit losses if the credit risk assessed for the financial asset significantly increases (stage 2).</t>
  </si>
  <si>
    <t xml:space="preserve">For financial assets that have become credit impaired since initial recognition (stage 3), expected credit losses at the reporting date are measured as the difference between the asset’s gross carrying amount and the present value of estimated future cash flows discounted at the financial asset’s original effective interest rate. </t>
  </si>
  <si>
    <t>Expected losses are charged to operating expenditure within the Statement of Comprehensive Income and reduce the net carrying value of the financial asset in the Statement of Financial Position.</t>
  </si>
  <si>
    <t>Derecognition</t>
  </si>
  <si>
    <t>Financial assets are de-recognised when the contractual rights to receive cash flows from the assets have expired or the Trust has transferred substantially all the risks and rewards of ownership.</t>
  </si>
  <si>
    <t>Financial liabilities are de-recognised when the obligation is discharged, cancelled or expires.</t>
  </si>
  <si>
    <t>Leases are classified as finance leases when substantially all the risks and rewards of ownership are transferred to the lessee. All other leases are classified as operating leases.</t>
  </si>
  <si>
    <t>The trust as a lessee</t>
  </si>
  <si>
    <t>The trust as a lessor</t>
  </si>
  <si>
    <t>Nominal rate</t>
  </si>
  <si>
    <t>Short-term</t>
  </si>
  <si>
    <t>Up to 5 years</t>
  </si>
  <si>
    <t>Minus 0.02%</t>
  </si>
  <si>
    <t>Medium-term</t>
  </si>
  <si>
    <t>After 5 years up to 10 years</t>
  </si>
  <si>
    <t>Long-term</t>
  </si>
  <si>
    <t>Inflation rate</t>
  </si>
  <si>
    <t>Year 1</t>
  </si>
  <si>
    <t>Year 2</t>
  </si>
  <si>
    <t>Into perpetuity</t>
  </si>
  <si>
    <t>Clinical negligence costs</t>
  </si>
  <si>
    <r>
      <rPr>
        <b/>
        <sz val="9"/>
        <color theme="1"/>
        <rFont val="Arial"/>
        <family val="2"/>
      </rPr>
      <t xml:space="preserve">Non-clinical risk pooling 
</t>
    </r>
    <r>
      <rPr>
        <sz val="9"/>
        <color theme="1"/>
        <rFont val="Arial"/>
        <family val="2"/>
      </rPr>
      <t xml:space="preserve">
The trust participates in the Property Expenses Scheme and the Liabilities to Third Parties Scheme. Both are risk pooling schemes under which the trust pays an annual contribution to NHS Resolution and in return receives assistance with the costs of claims arising. The annual membership contributions, and any excesses payable in respect of particular claims are charged to operating expenses when the liability arises. </t>
    </r>
  </si>
  <si>
    <t>Public dividend capital (PDC) is a type of public sector equity finance based on the excess of assets over liabilities at the time of establishment of the predecessor NHS organisation. HM Treasury has determined that PDC is not a financial instrument within the meaning of IAS 32. 
The Secretary of State can issue new PDC to, and require repayments of PDC from, the trust. PDC is recorded at the value received.
A charge, reflecting the cost of capital utilised by the trust, is payable as public dividend capital dividend. The charge is calculated at the rate set by HM Treasury (currently 3.5%) on the average relevant net assets of the trust during the financial year. Relevant net assets are calculated as the value of all assets less the value of all liabilities, with certain additions and deductions as defined by the Department of Health and Social Care.</t>
  </si>
  <si>
    <t>This policy is available at https://www.gov.uk/government/publications/guidance-on-financing-available-to-nhs-trusts-and-foundation-trusts.</t>
  </si>
  <si>
    <t>In accordance with the requirements laid down by the Department of Health and Social Care (as the issuer of PDC), the dividend for the year is calculated on the actual average relevant net assets as set out in the “pre-audit” version of the annual accounts. The dividend calculated is not revised should any adjustment to net assets occur as a result the audit of the annual accounts.</t>
  </si>
  <si>
    <t>Most of the activities of the trust are outside the scope of VAT and, in general, output tax does not apply and input tax on purchases is not recoverable. Irrecoverable VAT is charged to the relevant expenditure category or included in the capitalised purchase cost of fixed assets. Where output tax is charged or input VAT is recoverable, the amounts are stated net of VAT.</t>
  </si>
  <si>
    <t>Expenditure on the climate change levy is recognised in the Statement of Comprehensive Income as incurred, based on the prevailing chargeable rates for energy consumption.</t>
  </si>
  <si>
    <t>The functional and presentational currency of the trust is sterling.
A transaction which is denominated in a foreign currency is translated into the functional currency at the spot exchange rate on the date of the transaction. 
Where the trust has assets or liabilities denominated in a foreign currency at the Statement of Financial Position date:
• monetary items are translated at the spot exchange rate on 31 March
• non-monetary assets and liabilities measured at historical cost are translated using the spot exchange rate at the date of the transaction and
• non-monetary assets and liabilities measured at fair value are translated using the spot exchange rate at the date the fair value was determined.
Exchange gains or losses on monetary items (arising on settlement of the transaction or on re-translation at the Statement of Financial Position date) are recognised in income or expense in the period in which they arise.
Exchange gains or losses on non-monetary assets and liabilities are recognised in the same manner as other gains and losses on these items.</t>
  </si>
  <si>
    <r>
      <t xml:space="preserve">Assets belonging to third parties in which the Trust has no beneficial interest (such as money held on behalf of patients) are not recognised in the accounts. However, they are disclosed in a separate note to the accounts in accordance with the requirements of HM Treasury’s </t>
    </r>
    <r>
      <rPr>
        <i/>
        <sz val="9"/>
        <color theme="1"/>
        <rFont val="Arial"/>
        <family val="2"/>
      </rPr>
      <t>FReM</t>
    </r>
    <r>
      <rPr>
        <sz val="9"/>
        <color theme="1"/>
        <rFont val="Arial"/>
        <family val="2"/>
      </rPr>
      <t xml:space="preserve">. </t>
    </r>
  </si>
  <si>
    <t>Losses and special payments are items that Parliament would not have contemplated when it agreed funds for the health service or passed legislation. By their nature they are items that ideally should not arise. They are therefore subject to special control procedures compared with the generality of payments. They are divided into different categories, which govern the way that individual cases are handled. Losses and special payments are charged to the relevant functional headings in expenditure on an accruals basis.
The losses and special payments note is compiled directly from the losses and compensations register which reports on an accrual basis with the exception of provisions for future losses.</t>
  </si>
  <si>
    <t>Gifts are items that are voluntarily donated, with no preconditions and without the expectation of any return. Gifts include all transactions economically equivalent to free and unremunerated transfers, such as the loan of an asset for its expected useful life, and the sale or lease of assets at below market value.</t>
  </si>
  <si>
    <t>IFRS 16 Leases</t>
  </si>
  <si>
    <r>
      <t xml:space="preserve">IFRS 16 Leases will replace </t>
    </r>
    <r>
      <rPr>
        <i/>
        <sz val="9"/>
        <color theme="1"/>
        <rFont val="Arial"/>
        <family val="2"/>
      </rPr>
      <t>IAS 17 Leases, IFRIC 4 Determining whether an arrangement contains a lease</t>
    </r>
    <r>
      <rPr>
        <sz val="9"/>
        <color theme="1"/>
        <rFont val="Arial"/>
        <family val="2"/>
      </rPr>
      <t xml:space="preserve"> and other interpretations and is applicable in the public sector for periods beginning 1 April 2022.  The standard provides a single accounting model for lessees, recognising a right of use asset and obligation in the statement of financial position for most leases: some leases are exempt through application of practical expedients explained below. For those recognised in the statement of financial position the standard also requires the remeasurement of lease liabilities in specific circumstances after the commencement of the lease term. For lessors, the distinction between operating and finance leases will remain and the accounting will be largely unchanged.</t>
    </r>
  </si>
  <si>
    <t>IFRS 16 changes the definition of a lease compared to IAS 17 and IFRIC 4. The trust will apply this definition to new leases only and will grandfather its assessments made under the old standards of whether existing contracts contain a lease.</t>
  </si>
  <si>
    <t xml:space="preserve">For leases commencing in 2022/23, the trust will not recognise a right of use asset or lease liability for short term leases (less than or equal to 12 months) or for leases of low value assets (less than £5,000).  Right of use assets will be subsequently measured on a basis consistent with owned assets and depreciated over the length of the lease term. </t>
  </si>
  <si>
    <t>[Where judgements and estimates made locally by the trust in implementing IFRS 16 are expected to have a material effect, these should be disclosed]</t>
  </si>
  <si>
    <t>[Providers may wish to provide brief comments on the current status of their local IFRS 16 implementation plans, which may include reference to updating systems and controls]</t>
  </si>
  <si>
    <t>Estimated impact on 1 April 2022 statement of financial position</t>
  </si>
  <si>
    <t>Additional right of use assets recognised for existing operating leases</t>
  </si>
  <si>
    <t>Additional lease obligations recognised for existing operating leases</t>
  </si>
  <si>
    <t>Net impact on net assets on 1 April 2022</t>
  </si>
  <si>
    <t>Estimated in-year impact in 2022/23</t>
  </si>
  <si>
    <t>Additional depreciation on right of use assets</t>
  </si>
  <si>
    <t>Additional finance costs on lease liabilities</t>
  </si>
  <si>
    <t>Lease rentals no longer charged to operating expenditure</t>
  </si>
  <si>
    <t>Estimated impact on surplus / deficit in 2022/23</t>
  </si>
  <si>
    <t>[Providers may wish to highlight any limitations in the estimates disclosed above – for example, assumptions around discount rate or the measurement of peppercorn leased assets where valuations have not yet been obtained and the effect is material]</t>
  </si>
  <si>
    <t>Other standards, amendments and interpretations</t>
  </si>
  <si>
    <t>The following are assumptions about the future and other major sources of estimation uncertainty that have a significant risk of resulting in a material adjustment to the carrying amounts of assets and liabilities within the next financial year:</t>
  </si>
  <si>
    <t>High cost drugs income from commissioners (excluding pass-through costs)</t>
  </si>
  <si>
    <t>Other NHS clinical income</t>
  </si>
  <si>
    <t>Mental health services</t>
  </si>
  <si>
    <t>Clinical partnerships providing mandatory services (including S75 agreements)</t>
  </si>
  <si>
    <t>Clinical income for the secondary commissioning of mandatory services</t>
  </si>
  <si>
    <t>Other clinical income from mandatory services</t>
  </si>
  <si>
    <t>Ambulance services</t>
  </si>
  <si>
    <t>A &amp; E income</t>
  </si>
  <si>
    <t>Patient transport services income</t>
  </si>
  <si>
    <t>Other income</t>
  </si>
  <si>
    <t>Community services</t>
  </si>
  <si>
    <t>Income from other sources (e.g. local authorities)</t>
  </si>
  <si>
    <t>All services</t>
  </si>
  <si>
    <t xml:space="preserve">Private patient income </t>
  </si>
  <si>
    <t>Other clinical income</t>
  </si>
  <si>
    <t>Total income from activities</t>
  </si>
  <si>
    <t>Income from patient care activities received from:</t>
  </si>
  <si>
    <t>NHS England</t>
  </si>
  <si>
    <t>Clinical commissioning groups</t>
  </si>
  <si>
    <t>Department of Health and Social Care</t>
  </si>
  <si>
    <t>Other NHS providers</t>
  </si>
  <si>
    <t xml:space="preserve">NHS other </t>
  </si>
  <si>
    <t xml:space="preserve">Local authorities </t>
  </si>
  <si>
    <t xml:space="preserve">Non-NHS: private patients </t>
  </si>
  <si>
    <t xml:space="preserve">Non-NHS: overseas patients (chargeable to patient) </t>
  </si>
  <si>
    <t>Injury cost recovery scheme</t>
  </si>
  <si>
    <t>Non NHS: other</t>
  </si>
  <si>
    <t>Of which:</t>
  </si>
  <si>
    <t>Related to continuing operations</t>
  </si>
  <si>
    <t>Related to discontinued operations</t>
  </si>
  <si>
    <t>Income recognised this year</t>
  </si>
  <si>
    <t xml:space="preserve">Cash payments received in-year </t>
  </si>
  <si>
    <t xml:space="preserve">Amounts added to provision for impairment of receivables </t>
  </si>
  <si>
    <t>Amounts written off in-year</t>
  </si>
  <si>
    <t>2019/20</t>
  </si>
  <si>
    <t>Contract income</t>
  </si>
  <si>
    <t>Non-contract income</t>
  </si>
  <si>
    <t>Research and development</t>
  </si>
  <si>
    <t>Education and training</t>
  </si>
  <si>
    <t>Non-patient care services to other bodies</t>
  </si>
  <si>
    <t>Reimbursement and top up funding</t>
  </si>
  <si>
    <t>Income in respect of employee benefits accounted on a gross basis</t>
  </si>
  <si>
    <t>Receipt of capital grants and donations</t>
  </si>
  <si>
    <t>Charitable and other contributions to expenditure</t>
  </si>
  <si>
    <t>Support from the Department of Health and Social Care for mergers</t>
  </si>
  <si>
    <t>Rental revenue from finance leases</t>
  </si>
  <si>
    <t>Rental revenue from operating leases</t>
  </si>
  <si>
    <t>Amortisation of PFI deferred income / credits</t>
  </si>
  <si>
    <t>Charitable fund incoming resources</t>
  </si>
  <si>
    <t>Total other operating income</t>
  </si>
  <si>
    <t>Under the terms of its provider licence, the trust is required to analyse the level of income from activities that has arisen from commissioner requested and non-commissioner requested services. Commissioner requested services are defined in the provider licence and are services that commissioners believe would need to be protected in the event of provider failure. This information is provided in the table below:</t>
  </si>
  <si>
    <t>Income from services designated as commissioner requested services</t>
  </si>
  <si>
    <t>Income from services not designated as commissioner requested services</t>
  </si>
  <si>
    <t>Purchase of healthcare from NHS and DHSC bodies</t>
  </si>
  <si>
    <t>Purchase of healthcare from non-NHS and non-DHSC bodies</t>
  </si>
  <si>
    <t>Purchase of social care</t>
  </si>
  <si>
    <t>Staff and executive directors costs</t>
  </si>
  <si>
    <t>Remuneration of non-executive directors</t>
  </si>
  <si>
    <t>Supplies and services - clinical (excluding drugs costs)</t>
  </si>
  <si>
    <t xml:space="preserve">Supplies and services - general </t>
  </si>
  <si>
    <t>Drug costs (drugs inventory consumed and purchase of non-inventory drugs)</t>
  </si>
  <si>
    <t>Inventories written down</t>
  </si>
  <si>
    <t>Consultancy costs</t>
  </si>
  <si>
    <t xml:space="preserve">Establishment </t>
  </si>
  <si>
    <t xml:space="preserve">Premises </t>
  </si>
  <si>
    <t>Transport (including patient travel)</t>
  </si>
  <si>
    <t>Depreciation on property, plant and equipment</t>
  </si>
  <si>
    <t>Amortisation on intangible assets</t>
  </si>
  <si>
    <t>Movement in credit loss allowance: contract receivables / contract assets</t>
  </si>
  <si>
    <t>Movement in credit loss allowance: all other receivables and investments</t>
  </si>
  <si>
    <t>Increase/(decrease) in other provisions</t>
  </si>
  <si>
    <t>Change in provisions discount rate(s)</t>
  </si>
  <si>
    <t>audit services- statutory audit</t>
  </si>
  <si>
    <t>other auditor remuneration (external auditor only)</t>
  </si>
  <si>
    <t>Internal audit costs</t>
  </si>
  <si>
    <t>Clinical negligence</t>
  </si>
  <si>
    <t>Legal fees</t>
  </si>
  <si>
    <t>Insurance</t>
  </si>
  <si>
    <t>Rentals under operating leases</t>
  </si>
  <si>
    <t>Early retirements</t>
  </si>
  <si>
    <t xml:space="preserve">Redundancy </t>
  </si>
  <si>
    <t>Charges to operating expenditure for on-SoFP IFRIC 12 schemes (e.g. PFI / LIFT)</t>
  </si>
  <si>
    <t>Charges to operating expenditure for off-SoFP PFI / LIFT schemes</t>
  </si>
  <si>
    <t>Car parking &amp; security</t>
  </si>
  <si>
    <t xml:space="preserve">Hospitality </t>
  </si>
  <si>
    <t>Losses, ex gratia &amp; special payments</t>
  </si>
  <si>
    <t>Grossing up consortium arrangements</t>
  </si>
  <si>
    <t>Other services, eg external payroll</t>
  </si>
  <si>
    <t>Other NHS charitable fund resources expended</t>
  </si>
  <si>
    <t>Other</t>
  </si>
  <si>
    <t>[If 'Other' expenditure is a material figure then an analysis of the breakdown is required]</t>
  </si>
  <si>
    <t>Other auditor remuneration paid to the external auditor:</t>
  </si>
  <si>
    <t>1. Audit of accounts of any associate of the trust</t>
  </si>
  <si>
    <t>2. Audit-related assurance services</t>
  </si>
  <si>
    <t>3. Taxation compliance services</t>
  </si>
  <si>
    <t>4. All taxation advisory services not falling within item 3 above</t>
  </si>
  <si>
    <t>5. Internal audit services</t>
  </si>
  <si>
    <t>6. All assurance services not falling within items 1 to 5</t>
  </si>
  <si>
    <t>7. Corporate finance transaction services not falling within items 1 to 6 above</t>
  </si>
  <si>
    <t>8. Other non-audit services not falling within items 2 to 7 above</t>
  </si>
  <si>
    <t>Net impairments charged to operating surplus / deficit resulting from:</t>
  </si>
  <si>
    <t>Loss or damage from normal operations</t>
  </si>
  <si>
    <t>Unforeseen obsolescence</t>
  </si>
  <si>
    <t>Loss as a result of catastrophe</t>
  </si>
  <si>
    <t>Impairments of charitable fund assets</t>
  </si>
  <si>
    <t xml:space="preserve">Other </t>
  </si>
  <si>
    <t>Total net impairments charged to operating surplus / deficit</t>
  </si>
  <si>
    <t>Impairments charged to the revaluation reserve</t>
  </si>
  <si>
    <t>Total net impairments</t>
  </si>
  <si>
    <t>Salaries and wages</t>
  </si>
  <si>
    <t xml:space="preserve">Social security costs </t>
  </si>
  <si>
    <t>Apprenticeship levy</t>
  </si>
  <si>
    <t xml:space="preserve">Employer's contributions to NHS pensions </t>
  </si>
  <si>
    <t>Pension cost - other</t>
  </si>
  <si>
    <t>Other post employment benefits</t>
  </si>
  <si>
    <t>Other employment benefits</t>
  </si>
  <si>
    <t>Termination benefits</t>
  </si>
  <si>
    <t>Temporary staff (including agency)</t>
  </si>
  <si>
    <t>NHS charitable funds staff</t>
  </si>
  <si>
    <t>Total gross staff costs</t>
  </si>
  <si>
    <t>Recoveries in respect of seconded staff</t>
  </si>
  <si>
    <t>Total staff costs</t>
  </si>
  <si>
    <t>Of which</t>
  </si>
  <si>
    <t>Costs capitalised as part of assets</t>
  </si>
  <si>
    <t>These estimated costs are calculated on an average basis and will be borne by the NHS Pension Scheme.</t>
  </si>
  <si>
    <t>Only FTs - NHS trusts please delete</t>
  </si>
  <si>
    <t>In order that the defined benefit obligations recognised in the financial statements do not differ materially from those that would be determined at the reporting date by a formal actuarial valuation, the FReM requires that “the period between formal valuations shall be four years, with approximate assessments in intervening years”. An outline of these follows:</t>
  </si>
  <si>
    <t>a) Accounting valuation</t>
  </si>
  <si>
    <t>The latest assessment of the liabilities of the scheme is contained in the report of the scheme actuary, which forms part of the annual NHS Pension Scheme Accounts. These accounts can be viewed on the NHS Pensions website and are published annually. Copies can also be obtained from The Stationery Office.</t>
  </si>
  <si>
    <t>b) Full actuarial (funding) valuation</t>
  </si>
  <si>
    <t xml:space="preserve">The purpose of this valuation is to assess the level of liability in respect of the benefits due under the schemes (taking into account recent demographic experience), and to recommend contribution rates payable by employees and employers. </t>
  </si>
  <si>
    <t>Operating lease revenue</t>
  </si>
  <si>
    <t>Minimum lease receipts</t>
  </si>
  <si>
    <t>Contingent rent</t>
  </si>
  <si>
    <t xml:space="preserve">Future minimum lease receipts due: </t>
  </si>
  <si>
    <t>- not later than one year;</t>
  </si>
  <si>
    <t>- later than one year and not later than five years;</t>
  </si>
  <si>
    <t>- later than five years.</t>
  </si>
  <si>
    <t>Operating lease expense</t>
  </si>
  <si>
    <t>Minimum lease payments</t>
  </si>
  <si>
    <t>Contingent rents</t>
  </si>
  <si>
    <t>Less sublease payments received</t>
  </si>
  <si>
    <t xml:space="preserve">Future minimum lease payments due: </t>
  </si>
  <si>
    <t>Future minimum sublease payments to be received</t>
  </si>
  <si>
    <t>Finance income represents interest received on assets and investments in the period.</t>
  </si>
  <si>
    <t>Interest on bank accounts</t>
  </si>
  <si>
    <t>Interest income on finance leases</t>
  </si>
  <si>
    <t>Interest on other investments / financial assets</t>
  </si>
  <si>
    <t>NHS charitable fund investment income</t>
  </si>
  <si>
    <t>Other finance income</t>
  </si>
  <si>
    <t>Total finance income</t>
  </si>
  <si>
    <t>Finance expenditure represents interest and other charges involved in the borrowing of money or asset financing.</t>
  </si>
  <si>
    <t>Interest expense:</t>
  </si>
  <si>
    <t xml:space="preserve">Loans from the Department of Health and Social Care </t>
  </si>
  <si>
    <t>Other loans</t>
  </si>
  <si>
    <t xml:space="preserve">Overdrafts </t>
  </si>
  <si>
    <t xml:space="preserve">Finance leases </t>
  </si>
  <si>
    <t>Interest on late payment of commercial debt</t>
  </si>
  <si>
    <t>Main finance costs on PFI and LIFT schemes obligations</t>
  </si>
  <si>
    <t>Contingent finance costs on PFI and  LIFT scheme obligations</t>
  </si>
  <si>
    <t>Total interest expense</t>
  </si>
  <si>
    <t>Unwinding of discount on provisions</t>
  </si>
  <si>
    <t>Other finance costs</t>
  </si>
  <si>
    <t>Total finance costs</t>
  </si>
  <si>
    <t>Total liability accruing in year under this legislation as a result of late payments</t>
  </si>
  <si>
    <t>Amounts included within interest payable arising from claims made under this legislation</t>
  </si>
  <si>
    <t>Compensation paid to cover debt recovery costs under this legislation</t>
  </si>
  <si>
    <t>Gains on disposal of assets</t>
  </si>
  <si>
    <t>Losses on disposal of assets</t>
  </si>
  <si>
    <t>Gains / losses on disposal of charitable fund assets</t>
  </si>
  <si>
    <t>Gains / (losses) on foreign exchange</t>
  </si>
  <si>
    <t>Fair value gains / (losses) on investment properties</t>
  </si>
  <si>
    <t>Fair value gains / (losses) on financial assets / investments</t>
  </si>
  <si>
    <t>Fair value gains / (losses) on charitable fund investments &amp; investment properties</t>
  </si>
  <si>
    <t>Fair value gains / (losses) on financial liabilities</t>
  </si>
  <si>
    <t>Recycling gains / (losses) on disposal of financial assets mandated as fair value through OCI</t>
  </si>
  <si>
    <t>Total other gains / (losses)</t>
  </si>
  <si>
    <t>[In accordance with IAS 1 para 98, the following should be disclosed separately if material:
- disposals of property, plant and equipment
- disposals of investments
IFRS 9, para 20A requires disclosure of reasons for derecognising financial assets]</t>
  </si>
  <si>
    <t>Software  licences</t>
  </si>
  <si>
    <t>Internally generated information technology</t>
  </si>
  <si>
    <t>Intangible assets under construction</t>
  </si>
  <si>
    <t>Charitable fund intangible assets</t>
  </si>
  <si>
    <t xml:space="preserve">Total </t>
  </si>
  <si>
    <t xml:space="preserve">Valuation / gross cost at start of period for new FTs </t>
  </si>
  <si>
    <t xml:space="preserve">Transfers by absorption </t>
  </si>
  <si>
    <t>Additions</t>
  </si>
  <si>
    <t>Reversals of impairments</t>
  </si>
  <si>
    <t>Revaluations</t>
  </si>
  <si>
    <t xml:space="preserve">Reclassifications </t>
  </si>
  <si>
    <t>Transfers to / from assets held for sale</t>
  </si>
  <si>
    <t xml:space="preserve">Amortisation at start of period for new FTs </t>
  </si>
  <si>
    <t>Transfers by absorption</t>
  </si>
  <si>
    <t xml:space="preserve">Provided during the year </t>
  </si>
  <si>
    <t>Buildings excluding dwellings</t>
  </si>
  <si>
    <t>Assets under construction</t>
  </si>
  <si>
    <t>Charitable fund PPE assets</t>
  </si>
  <si>
    <t xml:space="preserve">Valuation/gross cost at start of period as FT </t>
  </si>
  <si>
    <t xml:space="preserve">Depreciation at start of period as FT </t>
  </si>
  <si>
    <t xml:space="preserve">Valuation / gross cost at start of period as FT </t>
  </si>
  <si>
    <t>Owned - purchased</t>
  </si>
  <si>
    <t>Finance leased</t>
  </si>
  <si>
    <t>On-SoFP PFI contracts and other service concession arrangements</t>
  </si>
  <si>
    <t>Off-SoFP PFI residual interests</t>
  </si>
  <si>
    <t>Owned - donated/granted</t>
  </si>
  <si>
    <t>Owned - donated / granted</t>
  </si>
  <si>
    <t>Carrying value at 1 April - brought forward</t>
  </si>
  <si>
    <t>At start of period for new FTs</t>
  </si>
  <si>
    <t xml:space="preserve">Acquisitions in year </t>
  </si>
  <si>
    <t>Movement in fair value</t>
  </si>
  <si>
    <t>Reclassifications to/from PPE</t>
  </si>
  <si>
    <t>Transfers to/from assets held for sale</t>
  </si>
  <si>
    <t>Disposals</t>
  </si>
  <si>
    <t>Direct operating expense arising from investment property which generated rental income in the period</t>
  </si>
  <si>
    <t>Direct operating expense arising from investment property which did not generate rental income in the period</t>
  </si>
  <si>
    <t>Total investment property expenses</t>
  </si>
  <si>
    <t>Investment property income</t>
  </si>
  <si>
    <t>Disbursements / dividends received</t>
  </si>
  <si>
    <t>Share of Other Comprehensive Income</t>
  </si>
  <si>
    <t>Other equity movements</t>
  </si>
  <si>
    <t>Movement in fair value through income and expenditure</t>
  </si>
  <si>
    <t>Movement in fair value through OCI</t>
  </si>
  <si>
    <t>Amortisation at the effective interest rate</t>
  </si>
  <si>
    <t>Current portion of loans receivable transferred to current financial assets</t>
  </si>
  <si>
    <t>[Trust with interests in unconsolidated subsidiaries, joint ventures, associates or unconsolidated structured entities should make relevant disclosures as required by IFRS 12, including, where relevant, the nature and operations of the investee, summarised financial information, significant judgements and assumptions and risk disclosures........]</t>
  </si>
  <si>
    <t>[The trust should disclose which charitable fund(s) have been consolidated within this set of accounts]</t>
  </si>
  <si>
    <t>Unrestricted funds:</t>
  </si>
  <si>
    <t>Unrestricted income funds</t>
  </si>
  <si>
    <t>Restricted funds:</t>
  </si>
  <si>
    <t>Endowment funds</t>
  </si>
  <si>
    <t>Other restricted income funds</t>
  </si>
  <si>
    <t>Unrestricted income funds are accumulated income funds that are expendable at the discretion of the trustees in furtherance of the charity's objects.  Unrestricted funds may be earmarked or designated for specific future purposes which reduces the amount that is readily available to the charity.</t>
  </si>
  <si>
    <t>[Other reserves………]</t>
  </si>
  <si>
    <t>Restricted funds may be accumulated income funds which are expendable at the trustee's discretion only in furtherance of the specified conditions of the donor and the objects of the charity.  They may also be capital funds (e.g. endowments) where the assets are required to be invested, or retained for use rather than expended.</t>
  </si>
  <si>
    <t>Drugs</t>
  </si>
  <si>
    <t>Work In progress</t>
  </si>
  <si>
    <t>Consumables</t>
  </si>
  <si>
    <t>Energy</t>
  </si>
  <si>
    <t>Charitable fund inventory</t>
  </si>
  <si>
    <t>Total inventories</t>
  </si>
  <si>
    <t>of which:</t>
  </si>
  <si>
    <t>Held at fair value less costs to sell</t>
  </si>
  <si>
    <t>These inventories were recognised as additions to inventory at deemed cost with the corresponding benefit recognised in income. The utilisation of these items is included in the expenses disclosed above.</t>
  </si>
  <si>
    <t>Current</t>
  </si>
  <si>
    <t>Contract receivables</t>
  </si>
  <si>
    <t>Contract assets</t>
  </si>
  <si>
    <t>Capital receivables</t>
  </si>
  <si>
    <t>Allowance for impaired contract receivables / assets</t>
  </si>
  <si>
    <t>Allowance for other impaired receivables</t>
  </si>
  <si>
    <t>Deposits and advances</t>
  </si>
  <si>
    <t>PFI prepayments - capital contributions</t>
  </si>
  <si>
    <t xml:space="preserve">PFI lifecycle prepayments </t>
  </si>
  <si>
    <t>Interest receivable</t>
  </si>
  <si>
    <t>Finance lease receivables</t>
  </si>
  <si>
    <t>PDC dividend receivable</t>
  </si>
  <si>
    <t>VAT receivable</t>
  </si>
  <si>
    <t>Corporation and other taxes receivable</t>
  </si>
  <si>
    <t>Other receivables</t>
  </si>
  <si>
    <t>NHS charitable funds receivables</t>
  </si>
  <si>
    <t>Total current receivables</t>
  </si>
  <si>
    <t>Non-current</t>
  </si>
  <si>
    <t>Total non-current receivables</t>
  </si>
  <si>
    <t xml:space="preserve">Of which receivable from NHS and DHSC group bodies: </t>
  </si>
  <si>
    <t>Contract receivables and contract assets</t>
  </si>
  <si>
    <t>All other receivables</t>
  </si>
  <si>
    <t xml:space="preserve">Allowances at start of period for new FTs </t>
  </si>
  <si>
    <t>New allowances arising</t>
  </si>
  <si>
    <t>Changes in existing allowances</t>
  </si>
  <si>
    <t>Reversals of allowances</t>
  </si>
  <si>
    <t>Utilisation of allowances (write offs)</t>
  </si>
  <si>
    <t>Changes arising following modification of contractual cash flows</t>
  </si>
  <si>
    <t>Foreign exchange and other changes</t>
  </si>
  <si>
    <t>Categorised as:</t>
  </si>
  <si>
    <t>Cash and cash equivalents comprise cash at bank, in hand and cash equivalents. Cash equivalents are readily convertible investments of known value which are subject to an insignificant risk of change in value.</t>
  </si>
  <si>
    <t>At 1 April</t>
  </si>
  <si>
    <t>At 1 April (restated)</t>
  </si>
  <si>
    <t>HIDE</t>
  </si>
  <si>
    <t>Net change in year</t>
  </si>
  <si>
    <t>At 31 March</t>
  </si>
  <si>
    <t>Broken down into:</t>
  </si>
  <si>
    <t xml:space="preserve">Cash at commercial banks and in hand </t>
  </si>
  <si>
    <t>Cash with the Government Banking Service</t>
  </si>
  <si>
    <t>Deposits with the National Loan Fund</t>
  </si>
  <si>
    <t>Other current investments</t>
  </si>
  <si>
    <t>Total cash and cash equivalents as in SoFP</t>
  </si>
  <si>
    <t>Bank overdrafts (GBS and commercial banks)</t>
  </si>
  <si>
    <t>Drawdown in committed facility</t>
  </si>
  <si>
    <t>Total cash and cash equivalents as in SoCF</t>
  </si>
  <si>
    <t>Group and Trust</t>
  </si>
  <si>
    <t>Bank balances</t>
  </si>
  <si>
    <t>Monies on deposit</t>
  </si>
  <si>
    <t>Total third party assets</t>
  </si>
  <si>
    <t xml:space="preserve">Current </t>
  </si>
  <si>
    <t>Trade payables</t>
  </si>
  <si>
    <t>Capital payables</t>
  </si>
  <si>
    <t>Accruals</t>
  </si>
  <si>
    <t>Receipts in advance and payments on account</t>
  </si>
  <si>
    <t>PFI lifecycle replacement received in advance</t>
  </si>
  <si>
    <t>Social security costs</t>
  </si>
  <si>
    <t>VAT payables</t>
  </si>
  <si>
    <t>Other taxes payable</t>
  </si>
  <si>
    <t>PDC dividend payable</t>
  </si>
  <si>
    <t>Other payables</t>
  </si>
  <si>
    <t>NHS charitable funds: trade and other payables</t>
  </si>
  <si>
    <t>Total current trade and other payables</t>
  </si>
  <si>
    <t>Total non-current trade and other payables</t>
  </si>
  <si>
    <t xml:space="preserve">Of which payables from NHS and DHSC group bodies: </t>
  </si>
  <si>
    <t xml:space="preserve">Number </t>
  </si>
  <si>
    <t>Deferred income: contract liabilities</t>
  </si>
  <si>
    <t>Deferred grants</t>
  </si>
  <si>
    <t>Deferred PFI credits / income</t>
  </si>
  <si>
    <t>Lease incentives</t>
  </si>
  <si>
    <t>Other deferred income</t>
  </si>
  <si>
    <t>NHS charitable funds: other liabilities</t>
  </si>
  <si>
    <t>Total other current liabilities</t>
  </si>
  <si>
    <t xml:space="preserve">Net pension scheme liability </t>
  </si>
  <si>
    <t>Total other non-current liabilities</t>
  </si>
  <si>
    <t>[Providers should explain significant movements in contract liability balances, including both qualitative and quantitative information. Significant changes may include trust mergers, impairments, changes to contractual terms such as timing of right to consideration or performance obligations and changes in estimates and judgements (IFRS 15, para 118)]</t>
  </si>
  <si>
    <t xml:space="preserve">Bank overdrafts </t>
  </si>
  <si>
    <t>Loans from DHSC</t>
  </si>
  <si>
    <t>Obligations under finance leases</t>
  </si>
  <si>
    <t>Obligations under PFI, LIFT or other service concession contracts (excl. lifecycle)</t>
  </si>
  <si>
    <t>NHS charitable funds: other current borrowings</t>
  </si>
  <si>
    <t>Total current borrowings</t>
  </si>
  <si>
    <t>Obligations under PFI, LIFT or other service concession contracts</t>
  </si>
  <si>
    <t>Total non-current borrowings</t>
  </si>
  <si>
    <t>Finance leases</t>
  </si>
  <si>
    <t>PFI and LIFT schemes</t>
  </si>
  <si>
    <t>Cash movements:</t>
  </si>
  <si>
    <t>Financing cash flows - payments and receipts of principal</t>
  </si>
  <si>
    <t>Financing cash flows - payments of interest</t>
  </si>
  <si>
    <t>Non-cash movements:</t>
  </si>
  <si>
    <t>Application of effective interest rate</t>
  </si>
  <si>
    <t>Change in effective interest rate</t>
  </si>
  <si>
    <t>Changes in fair value</t>
  </si>
  <si>
    <t>Early terminations</t>
  </si>
  <si>
    <t>Other changes</t>
  </si>
  <si>
    <t>Pensions: early departure costs</t>
  </si>
  <si>
    <t>Pensions: injury benefits</t>
  </si>
  <si>
    <t>Legal claims</t>
  </si>
  <si>
    <t>Re-structuring</t>
  </si>
  <si>
    <t>Equal Pay (including Agenda for Change)</t>
  </si>
  <si>
    <t>Redundancy</t>
  </si>
  <si>
    <t>Charitable fund provisions</t>
  </si>
  <si>
    <t xml:space="preserve">Change in the discount rate </t>
  </si>
  <si>
    <t xml:space="preserve">Arising during the year </t>
  </si>
  <si>
    <t>Utilised during the year</t>
  </si>
  <si>
    <t>Reclassified to liabilities held in disposal groups</t>
  </si>
  <si>
    <t xml:space="preserve">Reversed unused </t>
  </si>
  <si>
    <t xml:space="preserve">Unwinding of discount </t>
  </si>
  <si>
    <t>Movement in charitable fund provisions</t>
  </si>
  <si>
    <t xml:space="preserve">Expected timing of cash flows: </t>
  </si>
  <si>
    <t xml:space="preserve">Value of contingent liabilities </t>
  </si>
  <si>
    <t>NHS Resolution legal claims</t>
  </si>
  <si>
    <t>Employment tribunal and other employee related litigation</t>
  </si>
  <si>
    <t>Gross value of contingent liabilities</t>
  </si>
  <si>
    <t>Amounts recoverable against liabilities</t>
  </si>
  <si>
    <t>Net value of contingent liabilities</t>
  </si>
  <si>
    <t>Net value of contingent assets</t>
  </si>
  <si>
    <t>[For each class of contingent liability, the trust should disclose:
 - an indication of uncertainties over the amount or timing of cash flows; and
 - the possibility of any reimbursement reimbursement]</t>
  </si>
  <si>
    <t>The group / trust is committed to making payments under non-cancellable contracts (which are not leases, PFI contracts or other service concession arrangement), analysed by the period during which the payment is made:</t>
  </si>
  <si>
    <t>not later than 1 year</t>
  </si>
  <si>
    <t>after 1 year and not later than 5 years</t>
  </si>
  <si>
    <t>paid thereafter</t>
  </si>
  <si>
    <t>Held at amortised cost</t>
  </si>
  <si>
    <t>Held at fair value through I&amp;E</t>
  </si>
  <si>
    <t>Held at fair value through OCI</t>
  </si>
  <si>
    <t>Total book value</t>
  </si>
  <si>
    <t>Trade and other receivables excluding non financial assets</t>
  </si>
  <si>
    <t>Consolidated NHS Charitable fund financial assets</t>
  </si>
  <si>
    <t>Held at fair value 
through I&amp;E</t>
  </si>
  <si>
    <t>Total 
book value</t>
  </si>
  <si>
    <t>Loans from the Department of Health and Social Care</t>
  </si>
  <si>
    <t>Obligations under PFI, LIFT and other service concessions</t>
  </si>
  <si>
    <t>Other borrowings</t>
  </si>
  <si>
    <t xml:space="preserve">Trade and other payables excluding non financial liabilities </t>
  </si>
  <si>
    <t>Provisions under contract</t>
  </si>
  <si>
    <t>Consolidated NHS charitable fund financial liabilities</t>
  </si>
  <si>
    <t>The following maturity profile of financial liabilities is based on the contractual undiscounted cash flows. This differs to the amounts recognised in the statement of financial position which are discounted to present value.</t>
  </si>
  <si>
    <t>In one year or less</t>
  </si>
  <si>
    <t>In more than one year but not more than five years</t>
  </si>
  <si>
    <t>In more than five years</t>
  </si>
  <si>
    <t>Group and trust</t>
  </si>
  <si>
    <t>Total number of cases</t>
  </si>
  <si>
    <t>Total value of cases</t>
  </si>
  <si>
    <t>Losses</t>
  </si>
  <si>
    <t>Cash losses</t>
  </si>
  <si>
    <t>Fruitless payments and constructive losses</t>
  </si>
  <si>
    <t>Bad debts and claims abandoned</t>
  </si>
  <si>
    <t>Stores losses and damage to property</t>
  </si>
  <si>
    <t>Total losses</t>
  </si>
  <si>
    <t>Special payments</t>
  </si>
  <si>
    <t>Compensation under court order or legally binding arbitration award</t>
  </si>
  <si>
    <t>Extra-contractual payments</t>
  </si>
  <si>
    <t>Special severance payments</t>
  </si>
  <si>
    <t>Extra-statutory and extra-regulatory payments</t>
  </si>
  <si>
    <t>Total special payments</t>
  </si>
  <si>
    <t>Total losses and special payments</t>
  </si>
  <si>
    <t>Compensation payments received</t>
  </si>
  <si>
    <t>NHS trusts only - FTs please delete</t>
  </si>
  <si>
    <t>Non-NHS Payables</t>
  </si>
  <si>
    <t>Number</t>
  </si>
  <si>
    <t>Total non-NHS trade invoices paid in the year</t>
  </si>
  <si>
    <t>Total non-NHS trade invoices paid within target</t>
  </si>
  <si>
    <t>Percentage of non-NHS trade invoices paid within target</t>
  </si>
  <si>
    <t>NHS Payables</t>
  </si>
  <si>
    <t>Total NHS trade invoices paid in the year</t>
  </si>
  <si>
    <t>Total NHS trade invoices paid within target</t>
  </si>
  <si>
    <t>Percentage of NHS trade invoices paid within target</t>
  </si>
  <si>
    <t xml:space="preserve">The Better Payment Practice code requires the NHS body to aim to pay all valid invoices by the due date or within 30 days of receipt of valid invoice, whichever is later. </t>
  </si>
  <si>
    <t>The trust is given an external financing limit against which it is permitted to underspend</t>
  </si>
  <si>
    <t>Cash flow financing</t>
  </si>
  <si>
    <t>Finance leases taken out in year</t>
  </si>
  <si>
    <t>External financing requirement</t>
  </si>
  <si>
    <t>External financing limit (EFL)</t>
  </si>
  <si>
    <t>Under / (over) spend against EFL</t>
  </si>
  <si>
    <t>Gross capital expenditure</t>
  </si>
  <si>
    <t>Less: Disposals</t>
  </si>
  <si>
    <t>Less: Donated and granted capital additions</t>
  </si>
  <si>
    <t>Plus: Loss on disposal from capital grants in kind</t>
  </si>
  <si>
    <t>Charge against Capital Resource Limit</t>
  </si>
  <si>
    <t>Capital Resource Limit</t>
  </si>
  <si>
    <t>Under / (over) spend against CRL</t>
  </si>
  <si>
    <t>Adjusted financial performance surplus / (deficit) (control total basis)</t>
  </si>
  <si>
    <t>Remove impairments scoring to Departmental Expenditure Limit</t>
  </si>
  <si>
    <t>Add back non-cash element of On-SoFP pension scheme charges</t>
  </si>
  <si>
    <t>IFRIC 12 breakeven adjustment</t>
  </si>
  <si>
    <t>Breakeven duty financial performance surplus / (deficit)</t>
  </si>
  <si>
    <t>NHS trust only - FTs please delete</t>
  </si>
  <si>
    <t>[Add narrative disclosures required by guidance.]</t>
  </si>
  <si>
    <t>1997/98 to 2008/09</t>
  </si>
  <si>
    <t>2009/10</t>
  </si>
  <si>
    <t>2010/11</t>
  </si>
  <si>
    <t>2011/12</t>
  </si>
  <si>
    <t>2012/13</t>
  </si>
  <si>
    <t>2013/14</t>
  </si>
  <si>
    <t>2014/15</t>
  </si>
  <si>
    <t>Breakeven duty in-year financial performance</t>
  </si>
  <si>
    <t>Breakeven duty cumulative position</t>
  </si>
  <si>
    <t>Operating income</t>
  </si>
  <si>
    <t>Cumulative breakeven position as a percentage of operating income</t>
  </si>
  <si>
    <t>2015/16</t>
  </si>
  <si>
    <t>2016/17</t>
  </si>
  <si>
    <t>2017/18</t>
  </si>
  <si>
    <t>2018/19</t>
  </si>
  <si>
    <t>In line with the HM Treasury requirements, some previous accounts disclosures relating to staff costs are now required to be included in the staff report section of the annual report instead. The following tables link to data contained in the TAC and are included here for ease of formatting for the annual report.  They should not be included in the annual accounts and these tables are not a complete list of numerical disclosures for the staff report.</t>
  </si>
  <si>
    <t>Staff costs</t>
  </si>
  <si>
    <t>Permanent</t>
  </si>
  <si>
    <t>Employer's contributions to NHS pension scheme</t>
  </si>
  <si>
    <t>Temporary staff</t>
  </si>
  <si>
    <t>Average number of employees (WTE basis)</t>
  </si>
  <si>
    <t xml:space="preserve">Medical and dental </t>
  </si>
  <si>
    <t xml:space="preserve">Ambulance staff </t>
  </si>
  <si>
    <t xml:space="preserve">Administration and estates </t>
  </si>
  <si>
    <t xml:space="preserve">Healthcare assistants and other support staff </t>
  </si>
  <si>
    <t xml:space="preserve">Nursing, midwifery and health visiting staff </t>
  </si>
  <si>
    <t xml:space="preserve">Nursing, midwifery and health visiting learners </t>
  </si>
  <si>
    <t xml:space="preserve">Scientific, therapeutic and technical staff </t>
  </si>
  <si>
    <t>Healthcare science staff</t>
  </si>
  <si>
    <t xml:space="preserve">Social care staff </t>
  </si>
  <si>
    <t>Total average numbers</t>
  </si>
  <si>
    <t>Number of employees (WTE) engaged on capital projects</t>
  </si>
  <si>
    <t>[A narrative description of any exit packages agreed in the period should be provided]</t>
  </si>
  <si>
    <t>Number of 
compulsory
redundancies</t>
  </si>
  <si>
    <t>Number of other departures agreed</t>
  </si>
  <si>
    <t>Total number of exit packages</t>
  </si>
  <si>
    <t>Exit package cost band (including any special payment element)</t>
  </si>
  <si>
    <t>&lt;£10,000</t>
  </si>
  <si>
    <t>£10,000 - £25,000</t>
  </si>
  <si>
    <t>£25,001 - 50,000</t>
  </si>
  <si>
    <t>£50,001 - £100,000</t>
  </si>
  <si>
    <t>£100,001 - £150,000</t>
  </si>
  <si>
    <t>£150,001 - £200,000</t>
  </si>
  <si>
    <t>&gt;£200,000</t>
  </si>
  <si>
    <t>Total number of exit packages by type</t>
  </si>
  <si>
    <t>Total cost (£)</t>
  </si>
  <si>
    <t>[A narrative description of any exit packages agreed in the comparative period should be provided]</t>
  </si>
  <si>
    <t>Number of 
compulsory 
redundancies</t>
  </si>
  <si>
    <t>Total resource cost (£)</t>
  </si>
  <si>
    <t>Exit packages: other (non-compulsory) departure payments</t>
  </si>
  <si>
    <t>Payments agreed</t>
  </si>
  <si>
    <t>Total 
value of agreements</t>
  </si>
  <si>
    <t>Voluntary redundancies including early retirement contractual costs</t>
  </si>
  <si>
    <t>Mutually agreed resignations (MARS) contractual costs</t>
  </si>
  <si>
    <t>Early retirements in the efficiency of the service contractual costs</t>
  </si>
  <si>
    <t xml:space="preserve">Contractual payments in lieu of notice </t>
  </si>
  <si>
    <t>Exit payments following Employment Tribunals or court orders</t>
  </si>
  <si>
    <t>Non-contractual payments requiring HMT approval</t>
  </si>
  <si>
    <t>Non-contractual payments requiring HMT approval made to individuals where the payment value was more than 12 months’ of their annual salary</t>
  </si>
  <si>
    <t>NHS Improvement, in exercising the statutory functions conferred on Monitor, has directed that the financial statements of the Trust shall meet the accounting requirements of the Department of Health and Social Care Group Accounting Manual (GAM), which shall be agreed with HM Treasury. Consequently, the following financial statements have been prepared in accordance with the GAM 2021/22 issued by the Department of Health and Social Care. The accounting policies contained in the GAM follow International Financial Reporting Standards to the extent that they are meaningful and appropriate to the NHS, as determined by HM Treasury, which is advised by the Financial Reporting Advisory Board. Where the GAM permits a choice of accounting policy, the accounting policy that is judged to be most appropriate to the particular circumstances of the Trust for the purpose of giving a true and fair view has been selected. The particular policies adopted are described below. These have been applied consistently in dealing with items considered material in relation to the accounts</t>
  </si>
  <si>
    <t xml:space="preserve">In 2020/21 and 2021/22, the Trust received inventories including personal protective equipment from the Department of Health and Social Care at nil cost. In line with the GAM and applying the principles of the IFRS Conceptual Framework, the Trust has accounted for the receipt of these inventories at a deemed cost, reflecting the best available approximation of an imputed market value for the transaction based on the cost of acquisition by the Department. </t>
  </si>
  <si>
    <t>The trust has estimated the impact of applying IFRS 16 in 2022/23 on the opening statement of financial position and the in-year impact on the statement of comprehensive income and capital additions as follows:</t>
  </si>
  <si>
    <t>North West Boroughs Healthcare NHS Foundation Trust (demised 1 June 2021 on acquisition by RW4)</t>
  </si>
  <si>
    <t>TR</t>
  </si>
  <si>
    <t>Birmingham Women's and Children's NHS Foundation Trust</t>
  </si>
  <si>
    <t>Calderdale &amp; Huddersfield NHS Foundation Trust</t>
  </si>
  <si>
    <t>Chelsea and Westminster NHS Foundation Trust</t>
  </si>
  <si>
    <t>Doncaster &amp; Bassetlaw Teaching Hospitals NHS Foundation Trust</t>
  </si>
  <si>
    <t>Guy's &amp; St Thomas' NHS Foundation Trust</t>
  </si>
  <si>
    <t>King’s College Hospital NHS Foundation Trust</t>
  </si>
  <si>
    <t>The Queen Elizabeth Hospital King's Lynn NHS Foundation Trust</t>
  </si>
  <si>
    <t>Leeds Teaching Hospitals NHS Trust</t>
  </si>
  <si>
    <t>Maidstone And Tunbridge Wells NHS Trust</t>
  </si>
  <si>
    <t>Mersey Care NHS Foundation Trust (acquired RTV on 1 June 2021)</t>
  </si>
  <si>
    <t>Mid Yorkshire Hospitals NHS Trust</t>
  </si>
  <si>
    <t>Pennine Acute Hospitals NHS Trust</t>
  </si>
  <si>
    <t xml:space="preserve">University Hospitals Plymouth NHS Trust </t>
  </si>
  <si>
    <t>Shrewsbury and Telford Hospital NHS Trust</t>
  </si>
  <si>
    <t>St Helens And Knowsley Hospital Services NHS Trust</t>
  </si>
  <si>
    <t>Surrey And Sussex Healthcare NHS Trust</t>
  </si>
  <si>
    <t>University Hospitals Sussex NHS Foundation Trust (formerly Western Sussex Hospitals NHS Foundation Trust, acquired RXH on 1 April 2021)</t>
  </si>
  <si>
    <t>The Whittington Health NHS Trust</t>
  </si>
  <si>
    <t>York and Scarborough Teaching Hospitals NHS Foundation Trust (formerly York Teaching Hospital NHS Foundation Trust)</t>
  </si>
  <si>
    <t>Elective recovery fund</t>
  </si>
  <si>
    <t>Fees payable to the external auditor</t>
  </si>
  <si>
    <t>The Trust recognises a provision where it has a present legal or constructive obligation of uncertain timing or amount; for which it is probable that there will be a future outflow of cash or other resources; and a reliable estimate can be made of the amount. The amount recognised in the Statement of Financial Position is the best estimate of the resources required to settle the obligation. Where the effect of the time value of money is significant, the estimated risk-adjusted cash flows are discounted using HM Treasury's discount rates effective from 31 March 2022:</t>
  </si>
  <si>
    <t>HM Treasury provides discount rates for general provisions on a nominal rate basis. Expected future cash flows are therefore adjusted for the impact of inflation before discounting using nominal rates. The following inflation rates are set by HM Treasury, effective from 31 March 2022:</t>
  </si>
  <si>
    <t>After 10 years up to 40 years</t>
  </si>
  <si>
    <t>Exceeding 40 years</t>
  </si>
  <si>
    <t>Prior year rate</t>
  </si>
  <si>
    <t>Early retirement provisions and injury benefit provisions both use the HM Treasury's pension discount rate of minus 1.30% in real terms (prior year: minus 0.95).</t>
  </si>
  <si>
    <t>There are additional disclosure requirements for exit packages.
- NHS trusts should refer to DHSC GAM, annex 3 to chapter 3
- NHS foundation trusts should refer to FT ARM, annex 1 to chapter 2.</t>
  </si>
  <si>
    <t>West Hertfordshire Teaching Hospitals NHS Trust</t>
  </si>
  <si>
    <t>Where substantially all risks and rewards of ownership of a leased asset are borne by the trust, the asset is recorded as property, plant and equipment and a corresponding liability is recorded. The value at which both are recognised is the lower of the fair value of the asset or the present value of the minimum lease payments, discounted using the interest rate implicit in the lease. The implicit interest rate is that which produces a constant periodic rate of interest on the outstanding liability.
The asset and liability are recognised at the commencement of the lease. Thereafter the asset is accounted for an item of property plant and equipment. 
The annual rental charge is split between the repayment of the liability and a finance cost so as to achieve a constant rate of finance over the life of the lease. The annual finance cost is charged to finance costs in the Statement of Comprehensive Income.</t>
  </si>
  <si>
    <t>Operating leases</t>
  </si>
  <si>
    <t>Operating lease payments are recognised as an expense on a straight-line basis over the lease term. Lease incentives are recognised initially in other liabilities on the statement of financial position and subsequently as a reduction of rentals on a straight-line basis over the lease term.
Contingent rentals are recognised as an expense in the period in which they are incurred.</t>
  </si>
  <si>
    <t>Leases of land and buildings</t>
  </si>
  <si>
    <t xml:space="preserve">Where a lease is for land and buildings, the land component is separated from the building component and the classification for each is assessed separately. </t>
  </si>
  <si>
    <t>Services delivered under a mental health collaborative</t>
  </si>
  <si>
    <t>Income for commissioning services in a mental health collaborative</t>
  </si>
  <si>
    <t>The last tab of this template, tab 'Staff report tables', contains tables for disclosures that should be included in the annual report and not the accounts (per the FT ARM paragraph 2.93 and GAM paragraph 3.112).</t>
  </si>
  <si>
    <r>
      <t>For notes where Group and Trust should be included, paragraph 5.15 of the GAM states "w</t>
    </r>
    <r>
      <rPr>
        <i/>
        <sz val="11"/>
        <color theme="1"/>
        <rFont val="Calibri"/>
        <family val="2"/>
        <scheme val="minor"/>
      </rPr>
      <t>here the entity determines that the difference between the ‘Group’ and ‘Parent Entity’ numbers is immaterial for a particular note, the ‘Parent Entity’ version of that note may be omitted from the accounts. The omission and the extent of the immaterial differences must be explained.</t>
    </r>
    <r>
      <rPr>
        <sz val="11"/>
        <color theme="1"/>
        <rFont val="Calibri"/>
        <family val="2"/>
        <scheme val="minor"/>
      </rPr>
      <t>" This template has been prepared with Group and Trust versions of all balance sheet notes, which the user may wish to amend.</t>
    </r>
  </si>
  <si>
    <t xml:space="preserve">The Group version of the template assumes that the Trust takes advantage of the Companies Act exemption repeated in the GAM (paragraph 5.13) which allows the parent (i.e. Trust) statement of comprehensive income and related notes to be omitted. The SOCI and its supporting notes therefore omit 'Trust' columns. Some trusts may wish to add these back in, or in some cases add additional disclosure explaining what the difference between group and trust numbers would be. </t>
  </si>
  <si>
    <t>[FTs should ensure they comply with paragraphs 5.63 - 5.65 of the GAM and disclose director long term incentive schemes, other pension benefits, guarantees and advances where applicable.]</t>
  </si>
  <si>
    <t>[In line with the GAM, employee benefits should be shown in the accounts note in a single column for all categories of staff, which matches those shown for employee benefits in the staff costs disclosure in the Staff Report part of the annual report. See paragraphs 5.54 - 5.60 in the GAM for more detail.
See the "Staff report tables" tab for the disclosure that is now required in the Staff Report section of the annual report.]</t>
  </si>
  <si>
    <t>*The employer contribution rate for NHS pensions increased from 14.3% to 20.6% (excluding administration charge) from 1 April 2019. Since 2019/20, NHS providers have continued to pay over contributions at the former rate with the additional amount being paid over by NHS England on providers' behalf. The full cost and related funding have been recognised in these accounts.</t>
  </si>
  <si>
    <t>Block contract / system envelope income</t>
  </si>
  <si>
    <t>Additional pension contribution central funding*</t>
  </si>
  <si>
    <r>
      <t>Version:</t>
    </r>
    <r>
      <rPr>
        <b/>
        <sz val="12"/>
        <color theme="3" tint="0.39997558519241921"/>
        <rFont val="Calibri"/>
        <family val="2"/>
        <scheme val="minor"/>
      </rPr>
      <t xml:space="preserve"> 2022.2</t>
    </r>
    <r>
      <rPr>
        <b/>
        <sz val="12"/>
        <color theme="4"/>
        <rFont val="Calibri"/>
        <family val="2"/>
        <scheme val="minor"/>
      </rPr>
      <t xml:space="preserve"> (issued 9 March 2022)</t>
    </r>
  </si>
  <si>
    <t>TBC</t>
  </si>
  <si>
    <t>Moorfields Eye Hospital NHS Foundation Trust - Financial Statements 2021/22</t>
  </si>
  <si>
    <t xml:space="preserve">Subsidiary entities are those over which the trust has the power to exercise control or a dominant influence so as to gain economic or other benefits. The income, expenses, assets, liabilities, equity and reserves of subsidiaries are consolidated in full into the appropriate financial statement lines. The capital and reserves attributable to minority interests are included as a separate item in the Statement of Financial Position.  
The Trust established MEH Ventures LLP during 2013/14  as a wholly-owned subsidiary. The Trust is able to exert control over this entity and accordingly the transactions of MEH Ventures LLP have been consolidated into the Moorfields Eye Hospital NHS Foundation Trust accounts. The Trust includes within its financial statements its share of the assets, liabilities, income and expenses. 
</t>
  </si>
  <si>
    <t>As per paragraph 121 of the Standard the Trust does not disclose information regarding performance obligations part of a contract that has an original expected duration of one year or less. The GAM does not require the Trust to disclose information where revenue is recognised in line with the practical expedient offered in paragraph B16 of the Standard where the right to consideration corresponds directly with value of the performance completed to date.  The GAM has mandated the exercise of the practical expedient offered in C7A of the Standard that requires the Trust to reflect the aggregate effect of all contracts modified before the date of initial application.</t>
  </si>
  <si>
    <t>Where research contracts fall under IFRS 15, revenue is recognised as and when performance obligations are satisfied. For some contracts, it is assessed that the revenue project constitutes one performance obligation over the course of the multi-year contract. In these cases it is assessed that the Trust’s interim performance does not create an asset with alternative use for the Trust, and the Trust has an enforceable right to payment for the performance completed to date. It is therefore considered that the performance obligation is satisfied over time, and the Trust recognises revenue each year over the course of the contract. Some research income alternatively falls within the provisions of IAS 20 for government grants income is recognised in line with expenditure which meets the conditions set out in the grant documents.</t>
  </si>
  <si>
    <t>Revenue from Private Patients</t>
  </si>
  <si>
    <t>The Trust generates income from providing healthcare to private patients. A performance obligation relating to delivery of a spell of health care is generally satisfied over time as healthcare is received and consumed simultaneously by the customer as the Trust performs it. The customer in such a contract is the private patient, but the customer benefits as services are provided to their patient. Even where a contract could be broken down into separate performance obligations, healthcare generally aligns with paragraph 22(b) of the Standard entailing a delivery of a series of goods or services that are substantially the same and have a similar pattern of transfer.</t>
  </si>
  <si>
    <t>Property, plant and equipment is capitalised where:    
• it is held for use in delivering services or for administrative purposes
• it is probable that future economic benefits will flow to, or service potential be provided to, the trust
• it is expected to be used for more than one financial year 
• the cost of the item can be measured reliably
• the item has cost of at least £5,000, or
• collectively, a number of items have a cost of at least £5,000 and individually have cost of more than £250, where the assets are functionally interdependent, had broadly simultaneous purchase dates, are anticipated to have similar disposal dates and are under single managerial control.
Where a large asset, for example a building, includes a number of components with significantly different asset lives, eg, plant and equipment, then these components are treated as separate assets and depreciated over their own useful lives.</t>
  </si>
  <si>
    <t xml:space="preserve">Valuation guidance issued by the Royal Institute of Chartered Surveyors states that valuations are performed net of VAT where the VAT is recoverable by the entity. </t>
  </si>
  <si>
    <t>Properties in the course of construction for service or administration purposes are carried at cost, less any impairment loss. Cost includes professional fees and, where capitalised in accordance with IAS 23, borrowings costs. Assets are revalued and depreciation commences when the assets are brought into use.</t>
  </si>
  <si>
    <t>Inventories are valued at the lower of cost and net realisable value. The cost of inventories is measured using the weighted average cost method.</t>
  </si>
  <si>
    <t>Financial assets are classified as subsequently measured at amortised cost.</t>
  </si>
  <si>
    <t>Financial liabilities classified as subsequently measured at amortised cost.</t>
  </si>
  <si>
    <t xml:space="preserve">Financial assets and financial liabilities at amortised cost are those held with the objective of collecting contractual cash flows and where cash flows are solely payments of principal and interest. This includes cash equivalents, contract and other receivables, trade and other payables, rights and obligations under lease arrangements and loans receivable and payable. </t>
  </si>
  <si>
    <t xml:space="preserve">Interest revenue or expense is calculated by applying the effective interest rate to the gross carrying amount of a financial asset or amortised cost of a financial liability and recognised in the Statement of Comprehensive Income and a financing income or expense.  In the case of loans held from the Department of Health and Social Care, the effective interest rate is the nominal rate of interest charged on the loan. </t>
  </si>
  <si>
    <t xml:space="preserve">A financial asset is measured at fair value through other comprehensive income where business model objectives are met by both collecting contractual cash flows and selling financial assets and where the cash flows are solely payments of principal and interest. Movements in the fair value of financial assets in this category are recognised as gains or losses in other comprehensive income except for impairment losses. On derecognition, cumulative gains and losses previously recognised in other comprehensive income are reclassified from equity to income and expenditure, except where the Trust elected to measure an equity instrument in this category on initial recognition. </t>
  </si>
  <si>
    <t xml:space="preserve">For all financial assets measured at amortised cost including lease receivables, contract receivables and contract assets or assets measured at fair value through other comprehensive income, the Trust recognises an allowance for expected credit losses. </t>
  </si>
  <si>
    <t>On transition to IFRS 16 on 1 April 2022, the trust will apply the standard retrospectively without restatement and with the cumulative effect of initially applying the standard recognised in the income and expenditure reserve at that date. For existing operating leases with a remaining lease term of more than 12 months and an underlying asset value of at least £5,000, a lease liability will be recognised equal to the value of remaining lease payments discounted on transition at the trust’s incremental borrowing rate. The trust's incremental borrowing rate will be defined by HM Treasury. For 2022, this rate is 0.95%. The related right of use asset will be measured equal to the lease liability adjusted for any prepaid or accrued lease payments. For existing peppercorn leases not classified as finance leases, a right of use asset will be measured at current value in existing use or fair value. The difference between the asset value and the calculated lease liability will be recognised in the income and expenditure reserve on transition. No adjustments will be made on 1 April 2022 for existing finance leases.</t>
  </si>
  <si>
    <t>Consolidation of charitable funds</t>
  </si>
  <si>
    <t>The trust has assessed its relationship to the charitable fund and determined that it is not a subsidiary.  This is because the trust has no power to govern the financial and operating policies of the charitable fund so as to obtain the benefits from its activities for itself, its patients or its staff.</t>
  </si>
  <si>
    <t xml:space="preserve">The following are the judgements, apart from those involving estimations (see below) that management has made in the process of applying the trust accounting policies and that have the most significant effect on the amounts recognised in the financial statements:
</t>
  </si>
  <si>
    <r>
      <rPr>
        <b/>
        <sz val="9"/>
        <rFont val="Arial"/>
        <family val="2"/>
      </rPr>
      <t>Provisions</t>
    </r>
    <r>
      <rPr>
        <sz val="9"/>
        <rFont val="Arial"/>
        <family val="2"/>
      </rPr>
      <t xml:space="preserve">
Provisions have been made for legal and constructive obligations of uncertain timing or amount as at the reporting date. These are based on estimates using relevant and reliable information as is available at the time the financial statements are prepared. These provisions are estimates of the actual costs of future cash flows and are dependent on future events. Any difference between expectations and the actual future liability will be accounted for in the period when such determination is made. Amounts of provisions are detailed in note 27 to the accounts.</t>
    </r>
  </si>
  <si>
    <r>
      <rPr>
        <b/>
        <sz val="9"/>
        <rFont val="Arial"/>
        <family val="2"/>
      </rPr>
      <t>Valuation of Land and Buildings</t>
    </r>
    <r>
      <rPr>
        <sz val="9"/>
        <rFont val="Arial"/>
        <family val="2"/>
      </rPr>
      <t xml:space="preserve">
In line with this policy specialised assets are valued using the Modern Equivalent Asset (MEA) approach. Both physical and functional obsolescence is applied to buildings, to reflect their actual characteristics and value. Gerald Eve provided the trust with a valuation of land and building assets (estimated fair value and remaining useful life). The valuation, based on estimates provided by a suitably qualified professional in accordance with HM Treasury Guidance, leads to revaluation adjustments as described in note 17 to the accounts. Future revaluations of property may result in further changes to the carrying values of non-current assets.</t>
    </r>
  </si>
  <si>
    <t>Impairment of Receivables</t>
  </si>
  <si>
    <t>The trust reports results by two segments - NHS and Commercial.</t>
  </si>
  <si>
    <t>Income by segment</t>
  </si>
  <si>
    <t>Income from activities</t>
  </si>
  <si>
    <t>Other operating income</t>
  </si>
  <si>
    <t>Operating and other expenditure</t>
  </si>
  <si>
    <t>Impairment of non-current assets</t>
  </si>
  <si>
    <t>NHS</t>
  </si>
  <si>
    <t>Commercial</t>
  </si>
  <si>
    <t xml:space="preserve">Other gains </t>
  </si>
  <si>
    <t xml:space="preserve">Share of profit of associates / joint arrangements </t>
  </si>
  <si>
    <t>Surplus for the year</t>
  </si>
  <si>
    <t>Operating surplus from continuing operations</t>
  </si>
  <si>
    <t>Total comprehensive income for the period</t>
  </si>
  <si>
    <t>Investments in subsidiaries</t>
  </si>
  <si>
    <t>The trust receives income from rental of building space to external parties.</t>
  </si>
  <si>
    <t>At the date the Statement of Financial Position has been presented, the Trust had costs and outstanding commitments for future minimum lease payments for buildings under non-cancellable operating leases, which fall due as follows:</t>
  </si>
  <si>
    <t>MEH Ventures LLP, Trust's wholly owned subsidiary, incorporated in the UK holds a 49% stake in a joint venture - Moorfields Eye Centre Abu Dhabi, incorporated in UAE. The investment has been valued on an equity basis in accordance with the accounting policies for investments in joint ventures and associates.</t>
  </si>
  <si>
    <t xml:space="preserve">Allowances for credit losses have been calculated against each class of receivable using specific knowledge, age of receivable and past experience.     
</t>
  </si>
  <si>
    <t xml:space="preserve">Staff pensions are calculated using a formula supplied by the NHS Pensions Agency. These pensions are the costs of early retirement of staff resulting from reorganisation.     
Legal claims relate to an action against the trust which is not covered by the NHS Litigation Authority.  IAS 37 allows for the non-disclosure of further information which may prejudice the outcome of litigation.     
Redundancy claims relate to staff that are at risk on the redeployment register.    
Other provisions includes sums held in respect of additional charges arising from Clinicians pension tax scheme , dilapidations associated with leases and other contractual challenges.  No further information has been disclosed as IAS 37 allows the withholding of information which may seriously prejudice the trust.     
</t>
  </si>
  <si>
    <t>IFRS 7 Financial Instruments Disclosures, requires disclosure of the role that financial instruments have had during the period in creating or changing the risks an entity faces in undertaking its activities.</t>
  </si>
  <si>
    <t xml:space="preserve">Because of the continuing service-provider relationship that the foundation trust has with clinical commissioning groups, and the way those bodies are financed, the foundation trust is not exposed to the degree of financial risk faced by other business entities. Also, financial instruments play a much more limited role in creating or changing risk than would be typical of the listed companies to which IFRS 7 mainly applies. </t>
  </si>
  <si>
    <t>The foundation trust has power to borrow in accordance with its provider licence issued by the independent regulator for foundation trusts. Financial assets and liabilities generated by day-to-day operational activities are not held to change the risks facing the foundation trust in undertaking its activities.</t>
  </si>
  <si>
    <t>Liquidity risk</t>
  </si>
  <si>
    <t>A large proportion of the foundation trust's net operating costs are incurred under annual service agreements with clinical commissioning Groups, which are financed from resources voted annually by Parliament.  Capital expenditure has been financed from internal funds and donations. The trust has substantial cash balances and is not currently exposed to any liquidity risk associated with inability to pay creditors.</t>
  </si>
  <si>
    <t>Currency risk and interest rate risk</t>
  </si>
  <si>
    <t xml:space="preserve">The foundation trust has a branch in the United Arab Emirates (Dubai and Abu Dhabi), with transactions conducted in United Arab Emirates dirhams. The branch accounts are consolidated into the overall trust accounts, converted using spot and average exchange rates as appropriate, with exchange gains or losses reported in other equity reserve.  Due to the size of the operation, and the fact that the majority of cost and income are denoted in local currency, the trust has limited exposure to currency exchange fluctuations.  </t>
  </si>
  <si>
    <t>The trust is not exposed to changes in interest rates as all borrowings have been taken out at fixed rates for a fixed period from Independent Trust Financing Facility.</t>
  </si>
  <si>
    <t>Credit risk</t>
  </si>
  <si>
    <t xml:space="preserve">As majority of the trust's income comes from legally binding contracts with other government departments and NHS bodies, the trust is not exposed to major concentrations of credit risk. </t>
  </si>
  <si>
    <t xml:space="preserve">Moorfields Eye Hospital NHS Foundation Trust is a public benefit corporation established under the Health and Social Care (Community Health and Standards) Act 2003. </t>
  </si>
  <si>
    <t>During the year none of the board members or members of the key management staff, or parties related to them, has undertaken any material transactions with Moorfields Eye Hospital NHS Foundation Trust other than their employment remuneration where applicable.</t>
  </si>
  <si>
    <t>Certain clinical staff are employed by the trust and also engage in work for Moorfields Private, a commercial division of Moorfields Eye Hospital NHS Foundation Trust.  These engagements are undertaken on an arms-length basis separately from their direct employment with the trust.</t>
  </si>
  <si>
    <t xml:space="preserve">The Department of Health an Social Care is regarded as controlling party.  During the year Moorfields Eye Hospital NHS Foundation Trust has had a significant number of material transactions with the Department, and with other entities for which the Department is regarded as the parent company. </t>
  </si>
  <si>
    <t>Related party transactions were made on terms equivalent to those that prevail in an arm's length transaction.</t>
  </si>
  <si>
    <t xml:space="preserve">The trust has also had a significant number of transactions with University College London, the Friends of Moorfields and the Moorfields Eye Charity. </t>
  </si>
  <si>
    <t>The table on the next page shows other significant related parties (individually &gt; 1% of revenue), their relationship to the trust and the nature of the transactions entered into.</t>
  </si>
  <si>
    <t>Name of related party</t>
  </si>
  <si>
    <t>Nature of relationship to the trust</t>
  </si>
  <si>
    <t>Central funding for a variety of purposes</t>
  </si>
  <si>
    <t>Patients of NHS body treated by the trust</t>
  </si>
  <si>
    <t>Research &amp; development and Afc pay award funding</t>
  </si>
  <si>
    <t>Bedford Hospital NHS Trust</t>
  </si>
  <si>
    <t>Patients of NHS body treated by the trust (Income) / Costs of operating satellite site at NHS body (Expenditure)</t>
  </si>
  <si>
    <t>NHS East and North Hertfordshire CCG</t>
  </si>
  <si>
    <t>NHS Herts Valleys CCG</t>
  </si>
  <si>
    <t xml:space="preserve">Health Education England </t>
  </si>
  <si>
    <t>Education, training and personal development of NHS staff</t>
  </si>
  <si>
    <t>NHS Pension Scheme</t>
  </si>
  <si>
    <t>Employer pension contributions</t>
  </si>
  <si>
    <t>HM Revenue &amp; Customs</t>
  </si>
  <si>
    <t>Employer NI contributions &amp; Apprenticeship levy</t>
  </si>
  <si>
    <t>Costs of operating satellite site at NHS body (Expenditure)</t>
  </si>
  <si>
    <t>NHS North Central London CCG</t>
  </si>
  <si>
    <t>NHS Kent and Medway CCG</t>
  </si>
  <si>
    <t>NHS North East London CCG</t>
  </si>
  <si>
    <t>NHS North West London CCG</t>
  </si>
  <si>
    <t>NHS South East London CCG</t>
  </si>
  <si>
    <t>NHS South West London CCG</t>
  </si>
  <si>
    <t>NHS Surrey Heartlands CCG</t>
  </si>
  <si>
    <t>Standards issued or amended but not yet adopted:</t>
  </si>
  <si>
    <t>IFRS 14 Regulatory Deferral Accounts Not EU-endorsed. Applies to first time adopters of IFRS after 1 January 2016. Therefore not applicable to DHSC group bodies.
IFRS 17 Insurance Contracts Application required for accounting periods beginning on or after 1 January 2021, but not yet adopted by the FReM which is expected to be from April 2023: early adoption is not therefore permitted.</t>
  </si>
  <si>
    <t xml:space="preserve"> </t>
  </si>
  <si>
    <t>Changes to other statement of financial position line items  [If this line is material, further disclosure should be added and/or this line disaggregated]</t>
  </si>
  <si>
    <t>Other impact on income / expenditure  [If this line is material, further disclosure should be added and/or this line disaggregated]</t>
  </si>
  <si>
    <t xml:space="preserve">Valuations were carried out on properties at 162 City Road, the Richard Desmond Children's Eye Centre, Cayton Street, Northwick Park and Kemp House in 2021/22.  The valuation was carried out by Gerald Eve, an external firm of chartered surveyors, with the basis of valuation being Modern Equivalent Asset.
</t>
  </si>
  <si>
    <t>The valuation exercise was carried in March 2022 with a valuation date of 31 March 2022. In applying the Royal Institute of Chartered Surveyors (RCIS) Valuation Global Standards 2020 ('Red Book').</t>
  </si>
  <si>
    <t>Past and present employees are covered by the provisions of the two NHS Pension Schemes. Details of the benefits payable and rules of the Schemes can be found on the NHS Pensions website at www.nhsbsa.nhs.uk/pensions. Both are unfunded defined benefit schemes that cover NHS employers, GP practices and other bodies, allowed under the direction of the Secretary of State for Health and Social Care in England and Wales. They are not designed to be run in a way that would enable NHS bodies to identify their share of the underlying scheme assets and liabilities. Therefore, each scheme is accounted for as if it were a defined contribution scheme: the cost to the NHS body of participating in each scheme is taken as equal to the contributions payable to that scheme for the accounting period.</t>
  </si>
  <si>
    <t>A valuation of scheme liability is carried out annually by the scheme actuary (currently the Government Actuary’s Department) as at the end of the reporting period. This utilises an actuarial assessment for the previous accounting period in conjunction with updated membership and financial data for the current reporting period, and is accepted as providing suitably robust figures for financial reporting purposes. The valuation of the scheme liability as at 31 March 2022, is based on valuation data as 31 March 2021, updated to 31 March 2022 with summary global member and accounting data. In undertaking this actuarial assessment, the methodology prescribed in IAS 19, relevant FReM interpretations, and the discount rate prescribed by HM Treasury have also been used.</t>
  </si>
  <si>
    <t xml:space="preserve">The latest actuarial valuation undertaken for the NHS Pension Scheme was completed as at 31 March 2016. The results of this valuation set the employer contribution rate payable from April 2019 to 20.6% of pensionable pay. </t>
  </si>
  <si>
    <t xml:space="preserve">The 2016 funding valuation also tested the cost of the Scheme relative to the employer cost cap that was set following the 2012 valuation. There was initially a pause to the cost control element of the 2016 valuations, due to the uncertainty around member benefits caused by the discrimination ruling relating to the McCloud case. </t>
  </si>
  <si>
    <t>HMT published valuation directions dated 7 October 2021 (see Amending Directions 2021) that set out the technical detail of how the costs of remedy are included in the 2016 valuation process.  Following these directions, the scheme actuary has completed the cost control element of the 2016 valuation for the NHS Pension Scheme, which concludes no changes to benefits or member contributions are required.  The 2016 valuation reports can be found on the NHS Pensions website at https://www.nhsbsa.nhs.uk/nhs-pension-scheme-accounts-and-valuation-reports.</t>
  </si>
  <si>
    <t>During the year £133k was donated by Moorfields Eye Charity to purchase medical equipment.</t>
  </si>
  <si>
    <t>The valuation resulted in upwards (gains) valuation movements. Land was revalued up by £2,366k  and buildings revalued up by £841k. Revaluation gains are taken to the revaluation reserve.</t>
  </si>
  <si>
    <t xml:space="preserve">NHS </t>
  </si>
  <si>
    <t xml:space="preserve">Commercial </t>
  </si>
  <si>
    <t>Foreign exchange gainsrecognised directly through OCI</t>
  </si>
  <si>
    <t>Foreign exchange losses recognised directly through OCI</t>
  </si>
  <si>
    <r>
      <rPr>
        <b/>
        <sz val="9"/>
        <rFont val="Arial"/>
        <family val="2"/>
      </rPr>
      <t>Information on reserves
Public dividend capital</t>
    </r>
    <r>
      <rPr>
        <sz val="9"/>
        <rFont val="Arial"/>
        <family val="2"/>
      </rPr>
      <t xml:space="preserve">
Public dividend capital (PDC) is a type of public sector equity finance based on the excess of assets over liabilities at the time of establishment of the predecessor NHS organisation. Additional PDC may also be issued to trusts by the Department of Health and Social Care. A charge, reflecting the cost of capital utilised by the trust, is payable to the Department of Health as the public dividend capital dividend.
</t>
    </r>
    <r>
      <rPr>
        <b/>
        <sz val="9"/>
        <rFont val="Arial"/>
        <family val="2"/>
      </rPr>
      <t xml:space="preserve">
Revaluation reserve</t>
    </r>
    <r>
      <rPr>
        <sz val="9"/>
        <rFont val="Arial"/>
        <family val="2"/>
      </rPr>
      <t xml:space="preserve">
Increases in asset values arising from revaluations are recognised in the revaluation reserve, except where, and to the extent that, they reverse impairments previously recognised in operating expenses, in which case they are recognised in operating income. Subsequent downward movements in asset valuations are charged to the revaluation reserve to the extent that a previous gain was recognised unless the downward movement represents a clear consumption of economic benefit or a reduction in service potential.
</t>
    </r>
    <r>
      <rPr>
        <b/>
        <sz val="9"/>
        <rFont val="Arial"/>
        <family val="2"/>
      </rPr>
      <t xml:space="preserve">
Financial assets reserve</t>
    </r>
    <r>
      <rPr>
        <sz val="9"/>
        <rFont val="Arial"/>
        <family val="2"/>
      </rPr>
      <t xml:space="preserve">
This reserve comprises changes in the fair value of financial assets measured at fair value through other comprehensive income.  When these instruments are derecognised, cumulative gains or losses previously recognised as other comprehensive income or expenditure are recycled to income or expenditure, unless the assets are equity instruments measured at fair value through other comprehensive income as a result of irrevocable election at recognition.
</t>
    </r>
    <r>
      <rPr>
        <b/>
        <sz val="9"/>
        <rFont val="Arial"/>
        <family val="2"/>
      </rPr>
      <t xml:space="preserve">
Other reserves</t>
    </r>
    <r>
      <rPr>
        <sz val="9"/>
        <rFont val="Arial"/>
        <family val="2"/>
      </rPr>
      <t xml:space="preserve">
Exchange gains or losses on non-monetary assets and liabilities, including on revaluation, are recognised in other reserve under equity.
</t>
    </r>
    <r>
      <rPr>
        <b/>
        <sz val="9"/>
        <rFont val="Arial"/>
        <family val="2"/>
      </rPr>
      <t xml:space="preserve">
Income and expenditure reserve</t>
    </r>
    <r>
      <rPr>
        <sz val="9"/>
        <rFont val="Arial"/>
        <family val="2"/>
      </rPr>
      <t xml:space="preserve">
The balance of this reserve is the accumulated surpluses and deficits of the trust.
</t>
    </r>
  </si>
  <si>
    <t xml:space="preserve">Operating surplus </t>
  </si>
  <si>
    <t>Increase in inventories</t>
  </si>
  <si>
    <t>(Decrease)/ increase in payables and other liabilities</t>
  </si>
  <si>
    <t>(Decrease)/ increase in provisions</t>
  </si>
  <si>
    <t>Net cash flows from operating activities</t>
  </si>
  <si>
    <t>PDC dividend paid</t>
  </si>
  <si>
    <t>Unrealised losses on foreign exchange</t>
  </si>
  <si>
    <t>Over specification of assets *</t>
  </si>
  <si>
    <t>Abandonment of assets in course of construction **</t>
  </si>
  <si>
    <t>Changes in market price ***</t>
  </si>
  <si>
    <t>* This relates to a fair value assessment of the purchase of the London Claremont Clinic</t>
  </si>
  <si>
    <t>Total gains  on disposal of assets</t>
  </si>
  <si>
    <t>Purchase of new investment</t>
  </si>
  <si>
    <t>There were no early retirement payables due in either year.</t>
  </si>
  <si>
    <t>Remeasurements - retranslation losses on foreign operations</t>
  </si>
  <si>
    <t>Remeasurements - retranslation gains on foreign operations</t>
  </si>
  <si>
    <t>The trust had revenue  transactions of £2,939k (2020/21; £1,820k) with University College London (UCL) and expenditure transactions of £5,844k  (£2020/21; £7,837k). Amounts receivable from UCL as 31st March 2022 were £2,996k (2020/21: £793k)  and amounts payable to UCL were £3,114k (2020/21; £2k).</t>
  </si>
  <si>
    <t>Friends of Moorfields directly paid £38k (2020/21: £312k) to Moorfields Eye Hospital in income/donations. Income/donations for the year from Moorfields Eye Charity was £676k (2020/21: £517k).</t>
  </si>
  <si>
    <t>* *The Trust has ceased the continuation of development for its Digital Platform Solution resulting in an impairment of £0.187m</t>
  </si>
  <si>
    <t>*** The impairment recognised above in relation to changes in market price arose as a result of the revaluation exercise undertaken in the prior year</t>
  </si>
  <si>
    <t xml:space="preserve">NHS Resolution operates a risk pooling scheme under which the trust pays an annual contribution to NHS Resolution, which, in return, settles all clinical negligence claims. Although NHS Resolution is administratively responsible for all clinical negligence cases, the legal liability remains with the Trust. The total value of clinical negligence provisions carried by NHS Resolution on behalf of the trust is disclosed at note 27.3 but is not recognised in the Trust’s accounts. </t>
  </si>
  <si>
    <t>Contingent assets (that is, assets arising from past events whose existence will only be confirmed by one or more future events not wholly within the entity’s control) are not recognised as assets,  but would be disclosed in a note to the accounts where an inflow of economic benefits is probable.
Contingent liabilities are not recognised, but would be disclosed as a note to the accounts, unless the probability of a transfer of economic benefits is remote. 
Contingent liabilities are defined as:
• possible obligations arising from past events whose existence will be confirmed only by the occurrence of one or more uncertain future events not wholly within the entity’s control; or
• present obligations arising from past events but for which it is not probable that a transfer of economic benefits will arise or for which the amount of the obligation cannot be measured with sufficient reliability.</t>
  </si>
  <si>
    <r>
      <t>The trust reviews all receivables and impairs at rates determined by the age and recoverability of the debt as per IFRS 9. Amounts impaired are disclosed in note 22.2</t>
    </r>
    <r>
      <rPr>
        <sz val="9"/>
        <color rgb="FFFF0000"/>
        <rFont val="Arial"/>
        <family val="2"/>
      </rPr>
      <t xml:space="preserve"> </t>
    </r>
    <r>
      <rPr>
        <sz val="9"/>
        <rFont val="Arial"/>
        <family val="2"/>
      </rPr>
      <t xml:space="preserve">to the accounts. </t>
    </r>
  </si>
  <si>
    <r>
      <rPr>
        <i/>
        <sz val="9"/>
        <color theme="1"/>
        <rFont val="Arial"/>
        <family val="2"/>
      </rPr>
      <t>Impairments</t>
    </r>
    <r>
      <rPr>
        <sz val="9"/>
        <color theme="1"/>
        <rFont val="Arial"/>
        <family val="2"/>
      </rPr>
      <t xml:space="preserve">
In accordance with the GAM, impairments that arise from a clear consumption of economic benefits or of service potential in the asset are charged to operating expenses. A compensating transfer is made from the revaluation reserve to the income and expenditure reserve of an amount equal to the lower of (i) the impairment charged to operating expenses; and (ii) the balance in the revaluation reserve attributable to that asset before the impairment.
An impairment that arises from a clear consumption of economic benefit or of service potential is reversed when, and to the extent that, the circumstances that gave rise to the loss is reversed. Reversals are recognised in operating expenditure to the extent that the asset is restored to the carrying amount it would have had if the impairment had never been recognised. Any remaining reversal is recognised in the revaluation reserve. Where, at the time of the original impairment, a transfer was made from the revaluation reserve to the income and expenditure reserve, an amount is transferred back to the revaluation reserve when the impairment reversal is recognised.
Other impairments are treated as revaluation losses. Reversals of ‘other impairments’ are treated as revaluation gains.</t>
    </r>
  </si>
  <si>
    <r>
      <rPr>
        <i/>
        <sz val="9"/>
        <color theme="1"/>
        <rFont val="Arial"/>
        <family val="2"/>
      </rPr>
      <t>Revaluation gains and losses</t>
    </r>
    <r>
      <rPr>
        <sz val="9"/>
        <color theme="1"/>
        <rFont val="Arial"/>
        <family val="2"/>
      </rPr>
      <t xml:space="preserve">
Revaluation gains are recognised in the revaluation reserve, except where, and to the extent that, they reverse a revaluation decrease that has previously been recognised in operating expenses, in which case they are recognised in operating expenditure.
Revaluation losses are charged to the revaluation reserve to the extent that there is an available balance for the asset concerned, and thereafter are charged to operating expenses. 
Gains and losses recognised in the revaluation reserve are reported in the Statement of Comprehensive Income as an item of ‘other comprehensive income’.</t>
    </r>
  </si>
  <si>
    <r>
      <rPr>
        <i/>
        <sz val="9"/>
        <color theme="1"/>
        <rFont val="Arial"/>
        <family val="2"/>
      </rPr>
      <t>Depreciation</t>
    </r>
    <r>
      <rPr>
        <sz val="9"/>
        <color theme="1"/>
        <rFont val="Arial"/>
        <family val="2"/>
      </rPr>
      <t xml:space="preserve">
Items of property, plant and equipment are depreciated over their remaining useful lives in a manner consistent with the consumption of economic or service delivery benefits. Freehold land is considered to have an infinite life and is not depreciated. 
Property, plant and equipment which has been reclassified as ‘held for sale’ cease to be depreciated upon the reclassification. Assets in the course of construction and residual interests in off-Statement of Financial Position PFI contract assets are not depreciated until the asset is brought into use or reverts to the trust, respectively. </t>
    </r>
  </si>
  <si>
    <t>Net cash flows used in financing activities</t>
  </si>
  <si>
    <t>Increase  in cash and cash equivalents</t>
  </si>
  <si>
    <t>Net cash flows from used in investing activities</t>
  </si>
  <si>
    <r>
      <t>Estimated increase in capital additions for new leases commencing in 2022/23</t>
    </r>
    <r>
      <rPr>
        <sz val="9"/>
        <rFont val="Arial"/>
        <family val="2"/>
      </rPr>
      <t xml:space="preserve"> </t>
    </r>
  </si>
  <si>
    <t>Purchase of financial assets / investments</t>
  </si>
  <si>
    <t>The main source of income for the Trust is contracts with commissioners for health care services. In 2021/22 and 2020/21, the majority of the trust’s income from NHS commissioners was in the form of block contract arrangements. The Trust receives block funding from its commissioners, where funding envelopes are set at a Integrated Care System level. For the first half of the 2020/21 comparative year these blocks were set for individual NHS providers directly, but the revenue recognition principles are the same. The related performance obligation is the delivery of healthcare and related services during the period, with the trust’s entitlement to consideration not varying based on the levels of activity performed. 
The Trust also receives additional income outside of the block payments to reimburse specific costs incurred and, in 2020/21, other income top-ups to support the delivery of services. Reimbursement and top-up income is accounted for as variable consideration.
In 2021/22, the Elective Recovery Fund enabled systems to earn income linked to the achievement of elective activity targets including funding any increased use of independent sector capacity. Income earned by the system is distributed between individual entities by local agreement. Income earned from the fund is accounted for as variable consideration.</t>
  </si>
  <si>
    <t xml:space="preserve">Prepayments </t>
  </si>
  <si>
    <t xml:space="preserve">On 04 December 2020, the Trust acquired 100% of the issued share capital and voting interests in London Claremont Clinic Limited (“LCC”). LCC is a multispecialty clinic located near Harley Street, in the heart of central London’s renowned private medical community, and this site replaces the previous trust location on Wimpole Street.  The Trust is able to exert control over this entity and accordingly the transactions of LCC have been consolidated into the Moorfields Eye Hospital NHS Foundation Trust accounts. The Trust includes within its financial statements its share of the assets, liabilities, income and expenses. </t>
  </si>
  <si>
    <t xml:space="preserve">The exemption to exclude the Trust’s Statement of Comprehensive Income as allowed by DHSC GAM 2021/22 has been applied by the directors. All notes in the accounts refer to the Group. The Trust notes are included only where they are deemed to be materially differ. </t>
  </si>
  <si>
    <t xml:space="preserve">Disposals </t>
  </si>
  <si>
    <t xml:space="preserve">There were no events that occurred between the end of the reporting period and the date that the financial statements were authorised for issue. 
</t>
  </si>
  <si>
    <t>These accounts have been prepared on a going concern basis. The financial reporting framework applicable to NHS bodies, derived from the HM Treasury Financial Reporting Manual, defines that the anticipated continued provision of the entity’s services in the public sector is normally sufficient evidence of going concern. The directors have a reasonable expectation that this will continue to be the case.</t>
  </si>
  <si>
    <r>
      <rPr>
        <i/>
        <sz val="9"/>
        <rFont val="Arial"/>
        <family val="2"/>
      </rPr>
      <t xml:space="preserve">Finance leases
</t>
    </r>
    <r>
      <rPr>
        <sz val="9"/>
        <rFont val="Arial"/>
        <family val="2"/>
      </rPr>
      <t>Amounts due from lessees under finance leases are recorded as receivables at the amount of the Trust's net investment in the leases. Finance lease income is allocated to accounting periods to reflect a constant periodic rate of return on the trust's net investment outstanding in respect of the leases.</t>
    </r>
  </si>
  <si>
    <r>
      <rPr>
        <i/>
        <sz val="9"/>
        <rFont val="Arial"/>
        <family val="2"/>
      </rPr>
      <t xml:space="preserve">Operating leases
</t>
    </r>
    <r>
      <rPr>
        <sz val="9"/>
        <rFont val="Arial"/>
        <family val="2"/>
      </rPr>
      <t>Rental income from operating leases is recognised on a straight-line basis over the term of the lease. Initial direct costs incurred in negotiating and arranging an operating lease are added to the carrying amount of the leased asset and recognised as an expense on a straight-line basis over the lease term.</t>
    </r>
  </si>
  <si>
    <t xml:space="preserve">In 2021/22 the Trust reported a surplus of £19,508k (2020/21 surplus of £5,397k). </t>
  </si>
  <si>
    <t>For specialised assets, current value in existing use is interpreted as the present value of the asset's remaining service potential, which is assumed to be at least equal to the cost of replacing that service potential. Specialised assets are therefore valued at their depreciated replacement cost on a modern equivalent asset (MEA) basis. An MEA basis assumes that the asset will be replaced with a modern asset of equivalent capacity and meeting the location requirements of the services being provided. Assets held at depreciated replacement cost have been valued on an alternative site basis where this would meet the location requirements.</t>
  </si>
  <si>
    <t>Commercial includes results for Moorfields Private, Moorfields UAE, and London Claremont Clinic. 
Moorfields UAE includes the impact of foreign exchange fluctuations in its overall results, arising from the conversion of transactions in its functional currency (United Arab Emirates dirhams) to sterling.  The net assets of Moorfields UAE are restated on a monthly basis for exchange rate fluctuations, with movements expressed as unrealised gains or losses in other reserve. Moorfields UAE includes the operations of Moorfields Dubai and the share of surplus/deficit of Moorfields Eye Centre Abu Dhabi.</t>
  </si>
  <si>
    <t xml:space="preserve">Share of profit </t>
  </si>
  <si>
    <t>Ex-gratia payments *</t>
  </si>
  <si>
    <t>* The Ex-gratia payments in 2021/22 relate to nationally agreed overtime corrective payments. These payments are considered special payments for which approval was sought nationally by NHS England on local employers' behalf.</t>
  </si>
  <si>
    <t>The notes on pages 8 to 54 form part of these accounts.</t>
  </si>
  <si>
    <t>Surplus / (Deficit) for the year</t>
  </si>
  <si>
    <t>Maincode</t>
  </si>
  <si>
    <t>SCE0285</t>
  </si>
  <si>
    <t>SCE0286</t>
  </si>
  <si>
    <t>SCE0300</t>
  </si>
  <si>
    <t>SCE0400</t>
  </si>
  <si>
    <t>SCE0410</t>
  </si>
  <si>
    <t>SCE0436</t>
  </si>
  <si>
    <t>SCE0437</t>
  </si>
  <si>
    <t>SCE0438</t>
  </si>
  <si>
    <t>The limitation on auditor's liability for external audit work is £140 thousand (2020/21: £140 thousand).</t>
  </si>
  <si>
    <t xml:space="preserve">During 2021/22 there were 2 early retirements from the trust agreed on the grounds of ill-health (none in the year ended 31 March 2021).  The estimated additional pension liabilities of these ill-health retirements is £37k (0k in 2020/21).  </t>
  </si>
  <si>
    <t>£0</t>
  </si>
  <si>
    <t>£60,000</t>
  </si>
  <si>
    <t>£230,000</t>
  </si>
  <si>
    <t>Inventories recognised in expenses for the year were £52,762k (2020/21: £39,453k).  Write-down of inventories recognised as expenses for the year were £0k (2020/21: £11k).</t>
  </si>
  <si>
    <t>In response to the COVID 19 pandemic, the Department of Health and Social Care centrally procured personal protective equipment and passed these to NHS providers free of charge. During 2021/22 the Trust received £336k of items purchased by DHSC (2020/21: £1,679k).</t>
  </si>
  <si>
    <t>At 31 March 2022, £5,630k was included in provisions of NHS Resolution in respect of clinical negligence liabilities of Moorfields Eye Hospital NHS Foundation Trust (31 March 2021: £4,479k).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</si>
</sst>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43" formatCode="_-* #,##0.00_-;\-* #,##0.00_-;_-* &quot;-&quot;??_-;_-@_-"/>
    <numFmt numFmtId="164" formatCode="#,##0;[Red]\(#,##0\)"/>
    <numFmt numFmtId="165" formatCode="_-* #,##0_-;\-* #,##0_-;_-* &quot;-&quot;??_-;_-@_-"/>
    <numFmt numFmtId="166" formatCode="#,##0\ ;\(#,##0\);\-\ "/>
    <numFmt numFmtId="167" formatCode="0.0%;\(0.0%\)"/>
    <numFmt numFmtId="168" formatCode="#,##0\ ;\(#,##0\)"/>
    <numFmt numFmtId="169" formatCode="#,##0;[Red]\(#,##0\);\-"/>
  </numFmts>
  <fonts count="56"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9"/>
      <name val="Arial"/>
      <family val="2"/>
    </font>
    <font>
      <sz val="9"/>
      <name val="Arial"/>
      <family val="2"/>
    </font>
    <font>
      <sz val="9"/>
      <color theme="1"/>
      <name val="Arial"/>
      <family val="2"/>
    </font>
    <font>
      <b/>
      <sz val="9"/>
      <color theme="1"/>
      <name val="Arial"/>
      <family val="2"/>
    </font>
    <font>
      <sz val="10"/>
      <color theme="1"/>
      <name val="Arial"/>
      <family val="2"/>
    </font>
    <font>
      <sz val="9"/>
      <color indexed="8"/>
      <name val="Arial"/>
      <family val="2"/>
    </font>
    <font>
      <b/>
      <sz val="9"/>
      <color indexed="8"/>
      <name val="Arial"/>
      <family val="2"/>
    </font>
    <font>
      <b/>
      <sz val="11"/>
      <color theme="1"/>
      <name val="Calibri"/>
      <family val="2"/>
      <scheme val="minor"/>
    </font>
    <font>
      <b/>
      <sz val="10"/>
      <color theme="1"/>
      <name val="Arial"/>
      <family val="2"/>
    </font>
    <font>
      <sz val="11"/>
      <color theme="0"/>
      <name val="Calibri"/>
      <family val="2"/>
      <scheme val="minor"/>
    </font>
    <font>
      <i/>
      <sz val="9"/>
      <color theme="1"/>
      <name val="Arial"/>
      <family val="2"/>
    </font>
    <font>
      <sz val="9"/>
      <color theme="0"/>
      <name val="Arial"/>
      <family val="2"/>
    </font>
    <font>
      <b/>
      <sz val="9"/>
      <color theme="0"/>
      <name val="Arial"/>
      <family val="2"/>
    </font>
    <font>
      <sz val="9"/>
      <color rgb="FFFF0000"/>
      <name val="Arial"/>
      <family val="2"/>
    </font>
    <font>
      <b/>
      <sz val="9"/>
      <color rgb="FFFF0000"/>
      <name val="Arial"/>
      <family val="2"/>
    </font>
    <font>
      <sz val="11"/>
      <color rgb="FFFF0000"/>
      <name val="Calibri"/>
      <family val="2"/>
      <scheme val="minor"/>
    </font>
    <font>
      <b/>
      <sz val="12"/>
      <color theme="1"/>
      <name val="Calibri"/>
      <family val="2"/>
      <scheme val="minor"/>
    </font>
    <font>
      <i/>
      <sz val="11"/>
      <color theme="1"/>
      <name val="Calibri"/>
      <family val="2"/>
      <scheme val="minor"/>
    </font>
    <font>
      <sz val="11"/>
      <color theme="1"/>
      <name val="Calibri"/>
      <family val="2"/>
    </font>
    <font>
      <b/>
      <u/>
      <sz val="9"/>
      <color theme="1"/>
      <name val="Arial"/>
      <family val="2"/>
    </font>
    <font>
      <i/>
      <sz val="9"/>
      <color theme="0" tint="-0.499984740745262"/>
      <name val="Arial"/>
      <family val="2"/>
    </font>
    <font>
      <sz val="9"/>
      <color rgb="FF0000FF"/>
      <name val="Arial"/>
      <family val="2"/>
    </font>
    <font>
      <sz val="11"/>
      <name val="Calibri"/>
      <family val="2"/>
      <scheme val="minor"/>
    </font>
    <font>
      <b/>
      <u/>
      <sz val="9"/>
      <color rgb="FF0000FF"/>
      <name val="Arial"/>
      <family val="2"/>
    </font>
    <font>
      <b/>
      <sz val="18"/>
      <color theme="4"/>
      <name val="Calibri"/>
      <family val="2"/>
      <scheme val="minor"/>
    </font>
    <font>
      <b/>
      <sz val="9"/>
      <color rgb="FF0000FF"/>
      <name val="Arial"/>
      <family val="2"/>
    </font>
    <font>
      <b/>
      <sz val="12"/>
      <color theme="4"/>
      <name val="Calibri"/>
      <family val="2"/>
      <scheme val="minor"/>
    </font>
    <font>
      <b/>
      <i/>
      <sz val="11"/>
      <color rgb="FFFF0000"/>
      <name val="Arial"/>
      <family val="2"/>
    </font>
    <font>
      <sz val="11"/>
      <color theme="3" tint="0.39997558519241921"/>
      <name val="Calibri"/>
      <family val="2"/>
      <scheme val="minor"/>
    </font>
    <font>
      <b/>
      <sz val="13"/>
      <color theme="1"/>
      <name val="Arial"/>
      <family val="2"/>
    </font>
    <font>
      <b/>
      <sz val="12"/>
      <color theme="3" tint="0.39997558519241921"/>
      <name val="Calibri"/>
      <family val="2"/>
      <scheme val="minor"/>
    </font>
    <font>
      <b/>
      <sz val="16"/>
      <color rgb="FF00B050"/>
      <name val="Arial"/>
      <family val="2"/>
    </font>
    <font>
      <sz val="18"/>
      <color rgb="FF00B050"/>
      <name val="Calibri"/>
      <family val="2"/>
      <scheme val="minor"/>
    </font>
    <font>
      <sz val="10"/>
      <color rgb="FF00B050"/>
      <name val="Arial"/>
      <family val="2"/>
    </font>
    <font>
      <sz val="11"/>
      <color rgb="FF0070C0"/>
      <name val="Calibri"/>
      <family val="2"/>
      <scheme val="minor"/>
    </font>
    <font>
      <sz val="9"/>
      <color rgb="FF0070C0"/>
      <name val="Arial"/>
      <family val="2"/>
    </font>
    <font>
      <b/>
      <sz val="14"/>
      <color rgb="FF00B050"/>
      <name val="Arial"/>
      <family val="2"/>
    </font>
    <font>
      <b/>
      <sz val="11"/>
      <color theme="0"/>
      <name val="Calibri"/>
      <family val="2"/>
      <scheme val="minor"/>
    </font>
    <font>
      <sz val="8"/>
      <name val="Calibri"/>
      <family val="2"/>
      <scheme val="minor"/>
    </font>
    <font>
      <i/>
      <sz val="9"/>
      <name val="Arial"/>
      <family val="2"/>
    </font>
    <font>
      <b/>
      <sz val="10"/>
      <name val="Calibri"/>
      <family val="2"/>
    </font>
    <font>
      <sz val="10"/>
      <name val="Times New Roman"/>
      <family val="1"/>
    </font>
    <font>
      <sz val="10"/>
      <name val="Calibri"/>
      <family val="2"/>
    </font>
    <font>
      <sz val="8"/>
      <name val="Calibri"/>
      <family val="2"/>
    </font>
    <font>
      <sz val="7"/>
      <name val="Calibri"/>
      <family val="2"/>
    </font>
    <font>
      <sz val="12"/>
      <name val="Calibri"/>
      <family val="2"/>
    </font>
    <font>
      <b/>
      <i/>
      <sz val="10"/>
      <name val="Calibri"/>
      <family val="2"/>
    </font>
    <font>
      <sz val="10"/>
      <color indexed="8"/>
      <name val="Calibri"/>
      <family val="2"/>
    </font>
    <font>
      <sz val="10"/>
      <name val="Arial"/>
      <family val="2"/>
    </font>
    <font>
      <sz val="10"/>
      <color rgb="FFFF0000"/>
      <name val="Calibri"/>
      <family val="2"/>
    </font>
    <font>
      <b/>
      <i/>
      <sz val="9"/>
      <name val="Arial"/>
      <family val="2"/>
    </font>
  </fonts>
  <fills count="9">
    <fill>
      <patternFill patternType="none"/>
    </fill>
    <fill>
      <patternFill patternType="gray125"/>
    </fill>
    <fill>
      <patternFill patternType="solid">
        <fgColor theme="4"/>
        <bgColor theme="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99"/>
        <bgColor indexed="64"/>
      </patternFill>
    </fill>
    <fill>
      <patternFill patternType="solid">
        <fgColor rgb="FF00B050"/>
        <bgColor indexed="64"/>
      </patternFill>
    </fill>
    <fill>
      <patternFill patternType="solid">
        <fgColor rgb="FF00FFFF"/>
        <bgColor indexed="64"/>
      </patternFill>
    </fill>
    <fill>
      <patternFill patternType="solid">
        <fgColor rgb="FFFFC00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right/>
      <top style="thin">
        <color theme="0"/>
      </top>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top style="thin">
        <color theme="0" tint="-0.34998626667073579"/>
      </top>
      <bottom style="thin">
        <color theme="0" tint="-0.34998626667073579"/>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s>
  <cellStyleXfs count="16">
    <xf numFmtId="0" fontId="0" fillId="0" borderId="0"/>
    <xf numFmtId="43"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166" fontId="8" fillId="0" borderId="11">
      <alignment horizontal="right"/>
    </xf>
    <xf numFmtId="166" fontId="8" fillId="0" borderId="10">
      <alignment horizontal="right"/>
    </xf>
    <xf numFmtId="0" fontId="7" fillId="0" borderId="0">
      <alignment wrapText="1"/>
    </xf>
    <xf numFmtId="0" fontId="8" fillId="0" borderId="0">
      <alignment wrapText="1"/>
    </xf>
    <xf numFmtId="166" fontId="7" fillId="0" borderId="0">
      <alignment horizontal="right"/>
    </xf>
    <xf numFmtId="166" fontId="8" fillId="0" borderId="0">
      <alignment horizontal="right"/>
    </xf>
    <xf numFmtId="9" fontId="1" fillId="0" borderId="0" applyFont="0" applyFill="0" applyBorder="0" applyAlignment="0" applyProtection="0"/>
    <xf numFmtId="167" fontId="7" fillId="0" borderId="10">
      <alignment horizontal="right"/>
    </xf>
    <xf numFmtId="168" fontId="46" fillId="0" borderId="0"/>
    <xf numFmtId="0" fontId="53" fillId="0" borderId="0" applyBorder="0"/>
  </cellStyleXfs>
  <cellXfs count="485">
    <xf numFmtId="0" fontId="0" fillId="0" borderId="0" xfId="0"/>
    <xf numFmtId="43" fontId="7" fillId="0" borderId="0" xfId="1" applyFont="1"/>
    <xf numFmtId="0" fontId="7" fillId="0" borderId="0" xfId="0" applyFont="1" applyBorder="1"/>
    <xf numFmtId="0" fontId="7" fillId="0" borderId="0" xfId="0" applyFont="1"/>
    <xf numFmtId="0" fontId="9" fillId="0" borderId="0" xfId="0" applyFont="1" applyAlignment="1">
      <alignment horizontal="center"/>
    </xf>
    <xf numFmtId="0" fontId="9" fillId="0" borderId="0" xfId="0" applyFont="1"/>
    <xf numFmtId="0" fontId="8" fillId="0" borderId="0" xfId="0" applyFont="1"/>
    <xf numFmtId="0" fontId="8" fillId="0" borderId="0" xfId="0" applyFont="1" applyAlignment="1">
      <alignment horizontal="center"/>
    </xf>
    <xf numFmtId="0" fontId="8" fillId="0" borderId="0" xfId="0" applyFont="1" applyBorder="1"/>
    <xf numFmtId="0" fontId="7" fillId="0" borderId="0" xfId="0" applyFont="1" applyBorder="1" applyAlignment="1">
      <alignment horizontal="left"/>
    </xf>
    <xf numFmtId="0" fontId="11" fillId="0" borderId="0" xfId="0" applyNumberFormat="1" applyFont="1" applyFill="1" applyBorder="1" applyAlignment="1" applyProtection="1">
      <alignment horizontal="center"/>
    </xf>
    <xf numFmtId="0" fontId="11" fillId="0" borderId="0" xfId="0" applyNumberFormat="1" applyFont="1" applyFill="1" applyBorder="1" applyAlignment="1" applyProtection="1">
      <alignment horizontal="left"/>
    </xf>
    <xf numFmtId="0" fontId="7" fillId="0" borderId="0" xfId="0" applyFont="1" applyAlignment="1">
      <alignment wrapText="1"/>
    </xf>
    <xf numFmtId="0" fontId="7" fillId="0" borderId="0" xfId="0" applyFont="1" applyAlignment="1">
      <alignment vertical="center"/>
    </xf>
    <xf numFmtId="0" fontId="8" fillId="0" borderId="0" xfId="0" applyFont="1" applyFill="1" applyBorder="1" applyAlignment="1">
      <alignment horizontal="left" vertical="center" wrapText="1"/>
    </xf>
    <xf numFmtId="0" fontId="13" fillId="0" borderId="0" xfId="0" applyFont="1"/>
    <xf numFmtId="0" fontId="7" fillId="0" borderId="0" xfId="8">
      <alignment wrapText="1"/>
    </xf>
    <xf numFmtId="0" fontId="8" fillId="0" borderId="0" xfId="9">
      <alignment wrapText="1"/>
    </xf>
    <xf numFmtId="0" fontId="8" fillId="0" borderId="0" xfId="9" applyAlignment="1">
      <alignment vertical="center" wrapText="1"/>
    </xf>
    <xf numFmtId="0" fontId="8" fillId="0" borderId="0" xfId="9" applyAlignment="1">
      <alignment vertical="center"/>
    </xf>
    <xf numFmtId="0" fontId="7" fillId="0" borderId="0" xfId="8" applyAlignment="1">
      <alignment vertical="center"/>
    </xf>
    <xf numFmtId="0" fontId="7" fillId="0" borderId="0" xfId="8">
      <alignment wrapText="1"/>
    </xf>
    <xf numFmtId="0" fontId="7" fillId="0" borderId="0" xfId="8" applyFill="1">
      <alignment wrapText="1"/>
    </xf>
    <xf numFmtId="165" fontId="7" fillId="0" borderId="0" xfId="1" applyNumberFormat="1" applyFont="1" applyBorder="1"/>
    <xf numFmtId="165" fontId="7" fillId="0" borderId="0" xfId="1" applyNumberFormat="1" applyFont="1"/>
    <xf numFmtId="165" fontId="8" fillId="0" borderId="0" xfId="1" applyNumberFormat="1" applyFont="1"/>
    <xf numFmtId="0" fontId="7" fillId="0" borderId="0" xfId="8" applyAlignment="1">
      <alignment wrapText="1"/>
    </xf>
    <xf numFmtId="0" fontId="8" fillId="0" borderId="0" xfId="8" applyFont="1" applyAlignment="1">
      <alignment wrapText="1"/>
    </xf>
    <xf numFmtId="0" fontId="8" fillId="0" borderId="0" xfId="8" applyFont="1" applyAlignment="1">
      <alignment horizontal="left" wrapText="1"/>
    </xf>
    <xf numFmtId="0" fontId="7" fillId="0" borderId="0" xfId="8" applyAlignment="1">
      <alignment vertical="center" wrapText="1"/>
    </xf>
    <xf numFmtId="0" fontId="7" fillId="0" borderId="0" xfId="8" applyAlignment="1">
      <alignment horizontal="left" vertical="center"/>
    </xf>
    <xf numFmtId="0" fontId="0" fillId="0" borderId="0" xfId="0"/>
    <xf numFmtId="0" fontId="8" fillId="0" borderId="0" xfId="0" applyFont="1" applyBorder="1" applyAlignment="1">
      <alignment horizontal="center"/>
    </xf>
    <xf numFmtId="0" fontId="0" fillId="0" borderId="0" xfId="0" applyBorder="1"/>
    <xf numFmtId="0" fontId="7" fillId="0" borderId="0" xfId="8" applyBorder="1">
      <alignment wrapText="1"/>
    </xf>
    <xf numFmtId="165" fontId="7" fillId="0" borderId="0" xfId="1" applyNumberFormat="1" applyFont="1" applyBorder="1" applyAlignment="1">
      <alignment vertical="center"/>
    </xf>
    <xf numFmtId="0" fontId="7" fillId="0" borderId="0" xfId="9" applyFont="1" applyFill="1" applyAlignment="1">
      <alignment horizontal="left" vertical="center" wrapText="1"/>
    </xf>
    <xf numFmtId="0" fontId="16" fillId="0" borderId="0" xfId="0" applyFont="1"/>
    <xf numFmtId="0" fontId="16" fillId="0" borderId="0" xfId="8" applyFont="1">
      <alignment wrapText="1"/>
    </xf>
    <xf numFmtId="0" fontId="14" fillId="0" borderId="0" xfId="0" applyFont="1"/>
    <xf numFmtId="0" fontId="17" fillId="0" borderId="0" xfId="8" applyFont="1">
      <alignment wrapText="1"/>
    </xf>
    <xf numFmtId="166" fontId="7" fillId="0" borderId="0" xfId="1" applyNumberFormat="1" applyFont="1" applyAlignment="1">
      <alignment horizontal="right"/>
    </xf>
    <xf numFmtId="166" fontId="7" fillId="0" borderId="0" xfId="1" applyNumberFormat="1" applyFont="1" applyBorder="1" applyAlignment="1">
      <alignment horizontal="right"/>
    </xf>
    <xf numFmtId="166" fontId="8" fillId="0" borderId="0" xfId="1" applyNumberFormat="1" applyFont="1" applyBorder="1" applyAlignment="1">
      <alignment horizontal="right"/>
    </xf>
    <xf numFmtId="0" fontId="0" fillId="0" borderId="0" xfId="0" applyFill="1"/>
    <xf numFmtId="166" fontId="7" fillId="0" borderId="0" xfId="10">
      <alignment horizontal="right"/>
    </xf>
    <xf numFmtId="0" fontId="19" fillId="0" borderId="0" xfId="9" applyFont="1">
      <alignment wrapText="1"/>
    </xf>
    <xf numFmtId="0" fontId="8" fillId="0" borderId="0" xfId="9" applyFill="1">
      <alignment wrapText="1"/>
    </xf>
    <xf numFmtId="0" fontId="19" fillId="0" borderId="0" xfId="9" applyFont="1" applyFill="1" applyAlignment="1">
      <alignment vertical="center"/>
    </xf>
    <xf numFmtId="0" fontId="16" fillId="0" borderId="0" xfId="8" applyFont="1" applyFill="1">
      <alignment wrapText="1"/>
    </xf>
    <xf numFmtId="0" fontId="16" fillId="0" borderId="0" xfId="8" applyFont="1" applyAlignment="1">
      <alignment vertical="center"/>
    </xf>
    <xf numFmtId="0" fontId="16" fillId="0" borderId="0" xfId="8" applyFont="1" applyAlignment="1">
      <alignment horizontal="left" vertical="center"/>
    </xf>
    <xf numFmtId="0" fontId="7" fillId="0" borderId="0" xfId="0" applyFont="1" applyFill="1"/>
    <xf numFmtId="0" fontId="7" fillId="0" borderId="0" xfId="8">
      <alignment wrapText="1"/>
    </xf>
    <xf numFmtId="0" fontId="8" fillId="0" borderId="0" xfId="9" applyFill="1" applyAlignment="1">
      <alignment vertical="center"/>
    </xf>
    <xf numFmtId="0" fontId="21" fillId="3" borderId="0" xfId="0" applyFont="1" applyFill="1"/>
    <xf numFmtId="0" fontId="21" fillId="3" borderId="0" xfId="0" applyFont="1" applyFill="1" applyAlignment="1">
      <alignment wrapText="1"/>
    </xf>
    <xf numFmtId="0" fontId="0" fillId="3" borderId="0" xfId="0" applyFill="1" applyAlignment="1">
      <alignment wrapText="1"/>
    </xf>
    <xf numFmtId="0" fontId="21" fillId="0" borderId="0" xfId="0" applyFont="1" applyFill="1"/>
    <xf numFmtId="0" fontId="0" fillId="0" borderId="0" xfId="0" applyFill="1" applyAlignment="1">
      <alignment wrapText="1"/>
    </xf>
    <xf numFmtId="0" fontId="0" fillId="0" borderId="0" xfId="0" applyFill="1" applyAlignment="1">
      <alignment horizontal="left" vertical="top" wrapText="1" indent="2"/>
    </xf>
    <xf numFmtId="0" fontId="0" fillId="0" borderId="0" xfId="0" applyFill="1" applyAlignment="1">
      <alignment horizontal="left" wrapText="1" indent="2"/>
    </xf>
    <xf numFmtId="0" fontId="23" fillId="0" borderId="0" xfId="0" applyFont="1" applyFill="1" applyAlignment="1">
      <alignment wrapText="1"/>
    </xf>
    <xf numFmtId="0" fontId="20" fillId="0" borderId="0" xfId="0" applyFont="1" applyFill="1"/>
    <xf numFmtId="0" fontId="21" fillId="4" borderId="0" xfId="0" applyFont="1" applyFill="1"/>
    <xf numFmtId="0" fontId="0" fillId="4" borderId="0" xfId="0" applyFill="1" applyAlignment="1">
      <alignment wrapText="1"/>
    </xf>
    <xf numFmtId="0" fontId="24" fillId="0" borderId="0" xfId="0" applyFont="1"/>
    <xf numFmtId="49" fontId="7" fillId="0" borderId="4" xfId="0" applyNumberFormat="1" applyFont="1" applyBorder="1"/>
    <xf numFmtId="0" fontId="25" fillId="0" borderId="0" xfId="0" applyFont="1"/>
    <xf numFmtId="0" fontId="18" fillId="0" borderId="0" xfId="0" applyFont="1"/>
    <xf numFmtId="0" fontId="17" fillId="2" borderId="0" xfId="0" applyFont="1" applyFill="1" applyBorder="1"/>
    <xf numFmtId="0" fontId="17" fillId="2" borderId="6" xfId="0" applyFont="1" applyFill="1" applyBorder="1"/>
    <xf numFmtId="0" fontId="7" fillId="0" borderId="7" xfId="0" applyFont="1" applyFill="1" applyBorder="1"/>
    <xf numFmtId="14" fontId="7" fillId="0" borderId="7" xfId="0" applyNumberFormat="1" applyFont="1" applyFill="1" applyBorder="1" applyAlignment="1">
      <alignment horizontal="right"/>
    </xf>
    <xf numFmtId="0" fontId="7" fillId="0" borderId="8" xfId="0" applyFont="1" applyFill="1" applyBorder="1"/>
    <xf numFmtId="164" fontId="10" fillId="0" borderId="9" xfId="0" applyNumberFormat="1" applyFont="1" applyFill="1" applyBorder="1" applyAlignment="1">
      <alignment horizontal="left" vertical="center"/>
    </xf>
    <xf numFmtId="14" fontId="10" fillId="0" borderId="9" xfId="0" applyNumberFormat="1" applyFont="1" applyFill="1" applyBorder="1" applyAlignment="1">
      <alignment horizontal="right" vertical="center"/>
    </xf>
    <xf numFmtId="164" fontId="10" fillId="0" borderId="5" xfId="0" applyNumberFormat="1" applyFont="1" applyFill="1" applyBorder="1" applyAlignment="1">
      <alignment horizontal="left" vertical="center"/>
    </xf>
    <xf numFmtId="164" fontId="6" fillId="0" borderId="9" xfId="0" applyNumberFormat="1" applyFont="1" applyFill="1" applyBorder="1" applyAlignment="1">
      <alignment vertical="center"/>
    </xf>
    <xf numFmtId="0" fontId="27" fillId="0" borderId="0" xfId="0" applyFont="1" applyFill="1" applyAlignment="1">
      <alignment wrapText="1"/>
    </xf>
    <xf numFmtId="49" fontId="0" fillId="0" borderId="0" xfId="0" applyNumberFormat="1" applyFill="1" applyAlignment="1">
      <alignment horizontal="right" vertical="top"/>
    </xf>
    <xf numFmtId="49" fontId="0" fillId="0" borderId="0" xfId="0" applyNumberFormat="1" applyFill="1" applyAlignment="1">
      <alignment horizontal="right"/>
    </xf>
    <xf numFmtId="0" fontId="8" fillId="0" borderId="0" xfId="9" applyAlignment="1">
      <alignment horizontal="left" vertical="center"/>
    </xf>
    <xf numFmtId="0" fontId="0" fillId="0" borderId="0" xfId="0" applyAlignment="1">
      <alignment horizontal="left"/>
    </xf>
    <xf numFmtId="0" fontId="29" fillId="0" borderId="0" xfId="0" applyFont="1" applyFill="1" applyAlignment="1">
      <alignment wrapText="1"/>
    </xf>
    <xf numFmtId="0" fontId="30" fillId="0" borderId="0" xfId="0" applyFont="1"/>
    <xf numFmtId="0" fontId="7" fillId="0" borderId="0" xfId="0" applyFont="1" applyAlignment="1">
      <alignment horizontal="center"/>
    </xf>
    <xf numFmtId="0" fontId="10" fillId="0" borderId="0" xfId="0" applyNumberFormat="1" applyFont="1" applyFill="1" applyAlignment="1" applyProtection="1">
      <alignment horizontal="center"/>
    </xf>
    <xf numFmtId="0" fontId="6" fillId="0" borderId="0" xfId="0" applyNumberFormat="1" applyFont="1" applyFill="1" applyAlignment="1" applyProtection="1">
      <alignment horizontal="center"/>
    </xf>
    <xf numFmtId="0" fontId="6" fillId="0" borderId="0" xfId="0" applyFont="1" applyAlignment="1">
      <alignment horizontal="center"/>
    </xf>
    <xf numFmtId="0" fontId="6"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xf>
    <xf numFmtId="0" fontId="8" fillId="0" borderId="0" xfId="9" quotePrefix="1" applyAlignment="1">
      <alignment horizontal="right" wrapText="1"/>
    </xf>
    <xf numFmtId="166" fontId="7" fillId="0" borderId="0" xfId="10" applyAlignment="1">
      <alignment horizontal="right"/>
    </xf>
    <xf numFmtId="0" fontId="9" fillId="0" borderId="0" xfId="0" applyFont="1" applyAlignment="1">
      <alignment horizontal="justify"/>
    </xf>
    <xf numFmtId="0" fontId="19" fillId="0" borderId="0" xfId="8" applyFont="1" applyAlignment="1">
      <alignment wrapText="1"/>
    </xf>
    <xf numFmtId="0" fontId="8" fillId="0" borderId="0" xfId="8" applyFont="1" applyAlignment="1"/>
    <xf numFmtId="0" fontId="32" fillId="0" borderId="0" xfId="0" applyFont="1" applyAlignment="1">
      <alignment horizontal="center"/>
    </xf>
    <xf numFmtId="0" fontId="7" fillId="0" borderId="0" xfId="8" applyAlignment="1">
      <alignment horizontal="center" wrapText="1"/>
    </xf>
    <xf numFmtId="0" fontId="7" fillId="0" borderId="0" xfId="8">
      <alignment wrapText="1"/>
    </xf>
    <xf numFmtId="0" fontId="8" fillId="0" borderId="0" xfId="9" applyFill="1" applyAlignment="1">
      <alignment vertical="top" wrapText="1"/>
    </xf>
    <xf numFmtId="0" fontId="19" fillId="0" borderId="0" xfId="9" applyFont="1" applyAlignment="1"/>
    <xf numFmtId="0" fontId="8" fillId="0" borderId="0" xfId="9" applyAlignment="1">
      <alignment horizontal="left"/>
    </xf>
    <xf numFmtId="0" fontId="7" fillId="0" borderId="0" xfId="8" applyFill="1" applyAlignment="1"/>
    <xf numFmtId="14" fontId="7" fillId="5" borderId="4" xfId="0" applyNumberFormat="1" applyFont="1" applyFill="1" applyBorder="1" applyAlignment="1">
      <alignment horizontal="left"/>
    </xf>
    <xf numFmtId="14" fontId="7" fillId="0" borderId="4" xfId="0" applyNumberFormat="1" applyFont="1" applyBorder="1"/>
    <xf numFmtId="0" fontId="7" fillId="0" borderId="4" xfId="0" applyFont="1" applyBorder="1" applyAlignment="1" applyProtection="1">
      <alignment wrapText="1"/>
    </xf>
    <xf numFmtId="0" fontId="7" fillId="0" borderId="0" xfId="0" applyFont="1" applyAlignment="1">
      <alignment horizontal="center" wrapText="1"/>
    </xf>
    <xf numFmtId="0" fontId="8" fillId="0" borderId="0" xfId="9" applyBorder="1" applyAlignment="1">
      <alignment horizontal="right" wrapText="1"/>
    </xf>
    <xf numFmtId="165" fontId="8" fillId="0" borderId="0" xfId="1" applyNumberFormat="1" applyFont="1" applyBorder="1" applyAlignment="1">
      <alignment vertical="center" wrapText="1"/>
    </xf>
    <xf numFmtId="165" fontId="8" fillId="0" borderId="0" xfId="1" applyNumberFormat="1" applyFont="1" applyBorder="1" applyAlignment="1">
      <alignment vertical="center"/>
    </xf>
    <xf numFmtId="0" fontId="7" fillId="0" borderId="0" xfId="8">
      <alignment wrapText="1"/>
    </xf>
    <xf numFmtId="0" fontId="8" fillId="0" borderId="0" xfId="9" applyFont="1" applyAlignment="1">
      <alignment vertical="center"/>
    </xf>
    <xf numFmtId="0" fontId="8" fillId="0" borderId="0" xfId="9" applyFill="1" applyAlignment="1"/>
    <xf numFmtId="0" fontId="19" fillId="0" borderId="0" xfId="8" applyFont="1" applyFill="1" applyAlignment="1"/>
    <xf numFmtId="0" fontId="19" fillId="0" borderId="0" xfId="9" applyFont="1" applyFill="1" applyAlignment="1"/>
    <xf numFmtId="0" fontId="8" fillId="0" borderId="0" xfId="0" applyFont="1" applyAlignment="1">
      <alignment horizontal="right"/>
    </xf>
    <xf numFmtId="0" fontId="8" fillId="0" borderId="0" xfId="0" applyFont="1" applyBorder="1" applyAlignment="1">
      <alignment horizontal="right"/>
    </xf>
    <xf numFmtId="0" fontId="8" fillId="0" borderId="0" xfId="0" applyFont="1" applyAlignment="1">
      <alignment horizontal="right" wrapText="1"/>
    </xf>
    <xf numFmtId="6" fontId="8" fillId="0" borderId="0" xfId="0" quotePrefix="1" applyNumberFormat="1" applyFont="1" applyAlignment="1">
      <alignment horizontal="right"/>
    </xf>
    <xf numFmtId="6" fontId="8" fillId="0" borderId="0" xfId="0" quotePrefix="1" applyNumberFormat="1" applyFont="1" applyBorder="1" applyAlignment="1">
      <alignment horizontal="right"/>
    </xf>
    <xf numFmtId="0" fontId="7" fillId="0" borderId="0" xfId="8" applyAlignment="1">
      <alignment horizontal="left" wrapText="1" indent="2"/>
    </xf>
    <xf numFmtId="166" fontId="7" fillId="0" borderId="0" xfId="10" quotePrefix="1">
      <alignment horizontal="right"/>
    </xf>
    <xf numFmtId="0" fontId="7" fillId="0" borderId="0" xfId="8">
      <alignment wrapText="1"/>
    </xf>
    <xf numFmtId="0" fontId="7" fillId="0" borderId="0" xfId="8" applyAlignment="1">
      <alignment vertical="top" wrapText="1"/>
    </xf>
    <xf numFmtId="0" fontId="7" fillId="0" borderId="0" xfId="8" applyAlignment="1"/>
    <xf numFmtId="0" fontId="7" fillId="0" borderId="0" xfId="8" applyFont="1" applyAlignment="1">
      <alignment wrapText="1"/>
    </xf>
    <xf numFmtId="0" fontId="7" fillId="0" borderId="0" xfId="8">
      <alignment wrapText="1"/>
    </xf>
    <xf numFmtId="0" fontId="7" fillId="0" borderId="0" xfId="8">
      <alignment wrapText="1"/>
    </xf>
    <xf numFmtId="0" fontId="7" fillId="0" borderId="0" xfId="8" applyFill="1" applyAlignment="1">
      <alignment horizontal="left" wrapText="1" indent="1"/>
    </xf>
    <xf numFmtId="0" fontId="34" fillId="0" borderId="0" xfId="9" applyFont="1">
      <alignment wrapText="1"/>
    </xf>
    <xf numFmtId="0" fontId="34" fillId="0" borderId="0" xfId="9" applyFont="1" applyAlignment="1"/>
    <xf numFmtId="0" fontId="7" fillId="0" borderId="0" xfId="8">
      <alignment wrapText="1"/>
    </xf>
    <xf numFmtId="0" fontId="7" fillId="0" borderId="0" xfId="8">
      <alignment wrapText="1"/>
    </xf>
    <xf numFmtId="165" fontId="8" fillId="0" borderId="0" xfId="1" applyNumberFormat="1" applyFont="1" applyFill="1" applyAlignment="1">
      <alignment vertical="center" wrapText="1"/>
    </xf>
    <xf numFmtId="165" fontId="0" fillId="0" borderId="0" xfId="1" applyNumberFormat="1" applyFont="1" applyFill="1"/>
    <xf numFmtId="165" fontId="7" fillId="0" borderId="0" xfId="1" applyNumberFormat="1" applyFont="1" applyFill="1" applyAlignment="1">
      <alignment vertical="center" wrapText="1"/>
    </xf>
    <xf numFmtId="0" fontId="7" fillId="0" borderId="0" xfId="8">
      <alignment wrapText="1"/>
    </xf>
    <xf numFmtId="0" fontId="7" fillId="0" borderId="0" xfId="8">
      <alignment wrapText="1"/>
    </xf>
    <xf numFmtId="0" fontId="7" fillId="0" borderId="0" xfId="8">
      <alignment wrapText="1"/>
    </xf>
    <xf numFmtId="0" fontId="7" fillId="0" borderId="0" xfId="8">
      <alignment wrapText="1"/>
    </xf>
    <xf numFmtId="0" fontId="8" fillId="0" borderId="0" xfId="9">
      <alignment wrapText="1"/>
    </xf>
    <xf numFmtId="0" fontId="7" fillId="0" borderId="0" xfId="8">
      <alignment wrapText="1"/>
    </xf>
    <xf numFmtId="0" fontId="7" fillId="0" borderId="0" xfId="8">
      <alignment wrapText="1"/>
    </xf>
    <xf numFmtId="0" fontId="7" fillId="0" borderId="0" xfId="8">
      <alignment wrapText="1"/>
    </xf>
    <xf numFmtId="0" fontId="7" fillId="0" borderId="0" xfId="8">
      <alignment wrapText="1"/>
    </xf>
    <xf numFmtId="0" fontId="7" fillId="0" borderId="0" xfId="9" applyFont="1" applyAlignment="1">
      <alignment horizontal="left" indent="1"/>
    </xf>
    <xf numFmtId="0" fontId="7" fillId="0" borderId="0" xfId="8">
      <alignment wrapText="1"/>
    </xf>
    <xf numFmtId="0" fontId="7" fillId="0" borderId="0" xfId="8">
      <alignment wrapText="1"/>
    </xf>
    <xf numFmtId="0" fontId="0" fillId="0" borderId="0" xfId="0" applyAlignment="1">
      <alignment horizontal="left" wrapText="1"/>
    </xf>
    <xf numFmtId="0" fontId="36" fillId="0" borderId="0" xfId="0" applyFont="1"/>
    <xf numFmtId="0" fontId="7" fillId="0" borderId="0" xfId="0" applyFont="1" applyFill="1" applyBorder="1"/>
    <xf numFmtId="0" fontId="16" fillId="6" borderId="0" xfId="8" applyFont="1" applyFill="1">
      <alignment wrapText="1"/>
    </xf>
    <xf numFmtId="0" fontId="7" fillId="0" borderId="0" xfId="8" applyFill="1" applyAlignment="1">
      <alignment horizontal="center" wrapText="1"/>
    </xf>
    <xf numFmtId="166" fontId="7" fillId="0" borderId="11" xfId="10" applyBorder="1">
      <alignment horizontal="right"/>
    </xf>
    <xf numFmtId="0" fontId="7" fillId="0" borderId="0" xfId="9" applyFont="1" applyFill="1" applyAlignment="1">
      <alignment horizontal="center" wrapText="1"/>
    </xf>
    <xf numFmtId="0" fontId="0" fillId="0" borderId="0" xfId="0" applyFill="1" applyAlignment="1">
      <alignment vertical="top" wrapText="1"/>
    </xf>
    <xf numFmtId="0" fontId="19" fillId="0" borderId="0" xfId="8" applyFont="1" applyFill="1" applyAlignment="1">
      <alignment vertical="center" wrapText="1"/>
    </xf>
    <xf numFmtId="0" fontId="30" fillId="0" borderId="0" xfId="8" applyFont="1" applyAlignment="1">
      <alignment wrapText="1"/>
    </xf>
    <xf numFmtId="0" fontId="7" fillId="0" borderId="0" xfId="8">
      <alignment wrapText="1"/>
    </xf>
    <xf numFmtId="0" fontId="8" fillId="0" borderId="0" xfId="8" applyFont="1" applyAlignment="1">
      <alignment horizontal="left" wrapText="1" indent="1"/>
    </xf>
    <xf numFmtId="0" fontId="7" fillId="0" borderId="0" xfId="8" applyFont="1" applyAlignment="1">
      <alignment horizontal="left" wrapText="1" indent="1"/>
    </xf>
    <xf numFmtId="0" fontId="7" fillId="0" borderId="0" xfId="8">
      <alignment wrapText="1"/>
    </xf>
    <xf numFmtId="0" fontId="5" fillId="0" borderId="0" xfId="8" applyFont="1" applyAlignment="1">
      <alignment wrapText="1"/>
    </xf>
    <xf numFmtId="0" fontId="6" fillId="0" borderId="0" xfId="8" applyFont="1" applyAlignment="1">
      <alignment wrapText="1"/>
    </xf>
    <xf numFmtId="0" fontId="6" fillId="0" borderId="0" xfId="8" applyFont="1" applyFill="1" applyAlignment="1">
      <alignment wrapText="1"/>
    </xf>
    <xf numFmtId="0" fontId="8" fillId="0" borderId="0" xfId="0" applyFont="1" applyAlignment="1">
      <alignment horizontal="left"/>
    </xf>
    <xf numFmtId="0" fontId="7" fillId="0" borderId="0" xfId="0" applyFont="1" applyAlignment="1">
      <alignment horizontal="left" indent="1"/>
    </xf>
    <xf numFmtId="0" fontId="7" fillId="0" borderId="0" xfId="8">
      <alignment wrapText="1"/>
    </xf>
    <xf numFmtId="0" fontId="8" fillId="0" borderId="0" xfId="8" applyFont="1">
      <alignment wrapText="1"/>
    </xf>
    <xf numFmtId="0" fontId="7" fillId="0" borderId="0" xfId="8" applyAlignment="1">
      <alignment vertical="center"/>
    </xf>
    <xf numFmtId="0" fontId="8" fillId="0" borderId="0" xfId="8" applyFont="1" applyAlignment="1">
      <alignment vertical="center"/>
    </xf>
    <xf numFmtId="0" fontId="7" fillId="0" borderId="0" xfId="8" applyFont="1">
      <alignment wrapText="1"/>
    </xf>
    <xf numFmtId="165" fontId="8" fillId="0" borderId="0" xfId="1" applyNumberFormat="1" applyFont="1" applyAlignment="1">
      <alignment horizontal="right" vertical="center" wrapText="1"/>
    </xf>
    <xf numFmtId="165" fontId="7" fillId="0" borderId="0" xfId="1" applyNumberFormat="1" applyFont="1" applyAlignment="1">
      <alignment horizontal="right" vertical="center" wrapText="1"/>
    </xf>
    <xf numFmtId="0" fontId="16" fillId="0" borderId="0" xfId="8" applyFont="1">
      <alignment wrapText="1"/>
    </xf>
    <xf numFmtId="0" fontId="14" fillId="0" borderId="0" xfId="0" applyFont="1"/>
    <xf numFmtId="165" fontId="7" fillId="0" borderId="0" xfId="1" applyNumberFormat="1" applyFont="1" applyBorder="1" applyAlignment="1">
      <alignment vertical="center" wrapText="1"/>
    </xf>
    <xf numFmtId="0" fontId="8" fillId="0" borderId="0" xfId="8" applyFont="1" applyFill="1">
      <alignment wrapText="1"/>
    </xf>
    <xf numFmtId="165" fontId="18" fillId="0" borderId="0" xfId="1" applyNumberFormat="1" applyFont="1" applyAlignment="1">
      <alignment vertical="center" wrapText="1"/>
    </xf>
    <xf numFmtId="166" fontId="8" fillId="0" borderId="0" xfId="7" applyBorder="1">
      <alignment horizontal="right"/>
    </xf>
    <xf numFmtId="0" fontId="7" fillId="0" borderId="0" xfId="8" applyAlignment="1">
      <alignment horizontal="right" wrapText="1"/>
    </xf>
    <xf numFmtId="0" fontId="7" fillId="0" borderId="0" xfId="8" applyAlignment="1">
      <alignment horizontal="left" indent="1"/>
    </xf>
    <xf numFmtId="0" fontId="7" fillId="0" borderId="0" xfId="8">
      <alignment wrapText="1"/>
    </xf>
    <xf numFmtId="0" fontId="8" fillId="0" borderId="0" xfId="9">
      <alignment wrapText="1"/>
    </xf>
    <xf numFmtId="0" fontId="8" fillId="0" borderId="0" xfId="9" applyAlignment="1">
      <alignment horizontal="right" vertical="center" wrapText="1"/>
    </xf>
    <xf numFmtId="165" fontId="8" fillId="0" borderId="0" xfId="1" applyNumberFormat="1" applyFont="1" applyAlignment="1">
      <alignment vertical="center" wrapText="1"/>
    </xf>
    <xf numFmtId="165" fontId="8" fillId="0" borderId="0" xfId="1" applyNumberFormat="1" applyFont="1" applyBorder="1" applyAlignment="1">
      <alignment horizontal="right"/>
    </xf>
    <xf numFmtId="0" fontId="8" fillId="0" borderId="0" xfId="9" applyAlignment="1">
      <alignment horizontal="left" vertical="center" wrapText="1"/>
    </xf>
    <xf numFmtId="0" fontId="7" fillId="0" borderId="0" xfId="8" applyFill="1" applyAlignment="1">
      <alignment vertical="center"/>
    </xf>
    <xf numFmtId="0" fontId="17" fillId="0" borderId="0" xfId="9" applyFont="1">
      <alignment wrapText="1"/>
    </xf>
    <xf numFmtId="0" fontId="0" fillId="0" borderId="0" xfId="0" applyFill="1"/>
    <xf numFmtId="166" fontId="7" fillId="0" borderId="0" xfId="10" applyBorder="1">
      <alignment horizontal="right"/>
    </xf>
    <xf numFmtId="0" fontId="7" fillId="0" borderId="0" xfId="8" applyAlignment="1">
      <alignment wrapText="1"/>
    </xf>
    <xf numFmtId="0" fontId="7" fillId="0" borderId="0" xfId="8" applyAlignment="1">
      <alignment horizontal="left" vertical="center" wrapText="1"/>
    </xf>
    <xf numFmtId="0" fontId="10" fillId="0" borderId="0" xfId="0" applyNumberFormat="1" applyFont="1" applyFill="1" applyBorder="1" applyAlignment="1" applyProtection="1">
      <alignment horizontal="center"/>
    </xf>
    <xf numFmtId="0" fontId="8" fillId="0" borderId="0" xfId="9" applyFill="1" applyAlignment="1">
      <alignment horizontal="right" vertical="center" wrapText="1"/>
    </xf>
    <xf numFmtId="0" fontId="7" fillId="0" borderId="0" xfId="9" applyFont="1" applyAlignment="1">
      <alignment horizontal="left" wrapText="1" indent="1"/>
    </xf>
    <xf numFmtId="165" fontId="7" fillId="0" borderId="0" xfId="1" applyNumberFormat="1" applyFont="1" applyAlignment="1">
      <alignment vertical="center"/>
    </xf>
    <xf numFmtId="0" fontId="0" fillId="0" borderId="0" xfId="0"/>
    <xf numFmtId="0" fontId="7" fillId="0" borderId="0" xfId="0" applyFont="1"/>
    <xf numFmtId="0" fontId="7" fillId="0" borderId="0" xfId="8">
      <alignment wrapText="1"/>
    </xf>
    <xf numFmtId="165" fontId="7" fillId="0" borderId="0" xfId="1" applyNumberFormat="1" applyFont="1" applyAlignment="1">
      <alignment vertical="center" wrapText="1"/>
    </xf>
    <xf numFmtId="0" fontId="7" fillId="0" borderId="0" xfId="8" applyBorder="1">
      <alignment wrapText="1"/>
    </xf>
    <xf numFmtId="0" fontId="16" fillId="0" borderId="0" xfId="8" applyFont="1">
      <alignment wrapText="1"/>
    </xf>
    <xf numFmtId="166" fontId="8" fillId="0" borderId="10" xfId="7">
      <alignment horizontal="right"/>
    </xf>
    <xf numFmtId="166" fontId="8" fillId="0" borderId="11" xfId="6">
      <alignment horizontal="right"/>
    </xf>
    <xf numFmtId="0" fontId="18" fillId="0" borderId="0" xfId="8" applyFont="1" applyAlignment="1">
      <alignment vertical="center" wrapText="1"/>
    </xf>
    <xf numFmtId="166" fontId="7" fillId="0" borderId="0" xfId="10" applyFill="1">
      <alignment horizontal="right"/>
    </xf>
    <xf numFmtId="166" fontId="8" fillId="0" borderId="0" xfId="11" applyFill="1">
      <alignment horizontal="right"/>
    </xf>
    <xf numFmtId="166" fontId="8" fillId="0" borderId="10" xfId="7" applyFill="1">
      <alignment horizontal="right"/>
    </xf>
    <xf numFmtId="165" fontId="7" fillId="0" borderId="0" xfId="1" applyNumberFormat="1" applyFont="1" applyFill="1" applyAlignment="1">
      <alignment vertical="center"/>
    </xf>
    <xf numFmtId="0" fontId="7" fillId="0" borderId="0" xfId="8">
      <alignment wrapText="1"/>
    </xf>
    <xf numFmtId="0" fontId="7" fillId="0" borderId="0" xfId="8" applyAlignment="1">
      <alignment horizontal="left"/>
    </xf>
    <xf numFmtId="0" fontId="20" fillId="0" borderId="0" xfId="0" applyFont="1"/>
    <xf numFmtId="0" fontId="0" fillId="0" borderId="0" xfId="0"/>
    <xf numFmtId="0" fontId="7" fillId="0" borderId="0" xfId="8">
      <alignment wrapText="1"/>
    </xf>
    <xf numFmtId="165" fontId="8" fillId="0" borderId="0" xfId="1" applyNumberFormat="1" applyFont="1" applyAlignment="1">
      <alignment vertical="center"/>
    </xf>
    <xf numFmtId="166" fontId="7" fillId="0" borderId="0" xfId="10">
      <alignment horizontal="right"/>
    </xf>
    <xf numFmtId="166" fontId="8" fillId="0" borderId="0" xfId="11">
      <alignment horizontal="right"/>
    </xf>
    <xf numFmtId="166" fontId="8" fillId="0" borderId="10" xfId="7" applyAlignment="1"/>
    <xf numFmtId="0" fontId="7" fillId="0" borderId="0" xfId="0" applyFont="1"/>
    <xf numFmtId="14" fontId="6" fillId="0" borderId="9" xfId="0" applyNumberFormat="1" applyFont="1" applyFill="1" applyBorder="1" applyAlignment="1">
      <alignment horizontal="right" vertical="center"/>
    </xf>
    <xf numFmtId="0" fontId="7" fillId="0" borderId="0" xfId="8">
      <alignment wrapText="1"/>
    </xf>
    <xf numFmtId="0" fontId="12" fillId="0" borderId="0" xfId="0" applyFont="1" applyAlignment="1"/>
    <xf numFmtId="0" fontId="7" fillId="0" borderId="0" xfId="8">
      <alignment wrapText="1"/>
    </xf>
    <xf numFmtId="0" fontId="7" fillId="0" borderId="0" xfId="8" applyFill="1" applyAlignment="1">
      <alignment horizontal="left" indent="1"/>
    </xf>
    <xf numFmtId="0" fontId="8" fillId="0" borderId="0" xfId="9" applyAlignment="1">
      <alignment horizontal="right"/>
    </xf>
    <xf numFmtId="0" fontId="8" fillId="0" borderId="0" xfId="8" applyFont="1" applyAlignment="1">
      <alignment horizontal="left"/>
    </xf>
    <xf numFmtId="0" fontId="37" fillId="0" borderId="0" xfId="0" applyFont="1"/>
    <xf numFmtId="0" fontId="0" fillId="6" borderId="0" xfId="0" applyFill="1"/>
    <xf numFmtId="0" fontId="7" fillId="0" borderId="0" xfId="8" applyFill="1" applyAlignment="1">
      <alignment vertical="top" wrapText="1"/>
    </xf>
    <xf numFmtId="14" fontId="6" fillId="0" borderId="0" xfId="0" applyNumberFormat="1" applyFont="1" applyFill="1" applyBorder="1" applyAlignment="1">
      <alignment horizontal="right" vertical="center"/>
    </xf>
    <xf numFmtId="14" fontId="10" fillId="0" borderId="0" xfId="0" applyNumberFormat="1" applyFont="1" applyFill="1" applyBorder="1" applyAlignment="1">
      <alignment horizontal="right" vertical="center"/>
    </xf>
    <xf numFmtId="0" fontId="7" fillId="0" borderId="0" xfId="8">
      <alignment wrapText="1"/>
    </xf>
    <xf numFmtId="0" fontId="38" fillId="0" borderId="0" xfId="0" applyFont="1"/>
    <xf numFmtId="0" fontId="7" fillId="5" borderId="4" xfId="0" applyFont="1" applyFill="1" applyBorder="1"/>
    <xf numFmtId="0" fontId="7" fillId="0" borderId="0" xfId="8">
      <alignment wrapText="1"/>
    </xf>
    <xf numFmtId="166" fontId="8" fillId="0" borderId="11" xfId="11" applyBorder="1">
      <alignment horizontal="right"/>
    </xf>
    <xf numFmtId="0" fontId="0" fillId="0" borderId="0" xfId="0"/>
    <xf numFmtId="0" fontId="7" fillId="0" borderId="0" xfId="9" applyFont="1" applyAlignment="1"/>
    <xf numFmtId="0" fontId="7" fillId="0" borderId="0" xfId="8">
      <alignment wrapText="1"/>
    </xf>
    <xf numFmtId="0" fontId="16" fillId="0" borderId="0" xfId="0" applyFont="1" applyFill="1"/>
    <xf numFmtId="0" fontId="7" fillId="0" borderId="0" xfId="8">
      <alignment wrapText="1"/>
    </xf>
    <xf numFmtId="0" fontId="0" fillId="0" borderId="0" xfId="0"/>
    <xf numFmtId="0" fontId="6" fillId="0" borderId="0" xfId="8" applyFont="1">
      <alignment wrapText="1"/>
    </xf>
    <xf numFmtId="0" fontId="7" fillId="0" borderId="0" xfId="8">
      <alignment wrapText="1"/>
    </xf>
    <xf numFmtId="0" fontId="7" fillId="0" borderId="0" xfId="9" applyFont="1" applyFill="1" applyAlignment="1"/>
    <xf numFmtId="0" fontId="8" fillId="0" borderId="0" xfId="9" applyFill="1" applyAlignment="1">
      <alignment wrapText="1"/>
    </xf>
    <xf numFmtId="0" fontId="7" fillId="0" borderId="0" xfId="8">
      <alignment wrapText="1"/>
    </xf>
    <xf numFmtId="0" fontId="18" fillId="0" borderId="0" xfId="8" applyFont="1" applyAlignment="1">
      <alignment horizontal="left" indent="1"/>
    </xf>
    <xf numFmtId="0" fontId="7" fillId="0" borderId="0" xfId="8">
      <alignment wrapText="1"/>
    </xf>
    <xf numFmtId="0" fontId="40" fillId="0" borderId="0" xfId="8" applyFont="1">
      <alignment wrapText="1"/>
    </xf>
    <xf numFmtId="167" fontId="7" fillId="0" borderId="10" xfId="13">
      <alignment horizontal="right"/>
    </xf>
    <xf numFmtId="0" fontId="7" fillId="0" borderId="0" xfId="8">
      <alignment wrapText="1"/>
    </xf>
    <xf numFmtId="0" fontId="40" fillId="0" borderId="0" xfId="8" applyFont="1" applyAlignment="1">
      <alignment horizontal="left" wrapText="1"/>
    </xf>
    <xf numFmtId="0" fontId="40" fillId="0" borderId="0" xfId="8" applyFont="1" applyAlignment="1">
      <alignment wrapText="1"/>
    </xf>
    <xf numFmtId="0" fontId="8" fillId="0" borderId="0" xfId="8" applyFont="1" applyFill="1" applyAlignment="1">
      <alignment wrapText="1"/>
    </xf>
    <xf numFmtId="0" fontId="20" fillId="0" borderId="0" xfId="0" applyFont="1" applyFill="1" applyAlignment="1">
      <alignment horizontal="left" wrapText="1" indent="3"/>
    </xf>
    <xf numFmtId="0" fontId="7" fillId="8" borderId="15" xfId="0" applyFont="1" applyFill="1" applyBorder="1"/>
    <xf numFmtId="0" fontId="7" fillId="8" borderId="14" xfId="0" applyFont="1" applyFill="1" applyBorder="1"/>
    <xf numFmtId="0" fontId="6" fillId="8" borderId="13" xfId="0" applyFont="1" applyFill="1" applyBorder="1" applyAlignment="1">
      <alignment horizontal="left" vertical="center" indent="1"/>
    </xf>
    <xf numFmtId="0" fontId="6" fillId="0" borderId="0" xfId="0" applyFont="1" applyFill="1" applyBorder="1" applyAlignment="1">
      <alignment horizontal="left" vertical="center" indent="1"/>
    </xf>
    <xf numFmtId="10" fontId="0" fillId="0" borderId="0" xfId="12" applyNumberFormat="1" applyFont="1" applyFill="1" applyBorder="1"/>
    <xf numFmtId="0" fontId="0" fillId="0" borderId="0" xfId="0"/>
    <xf numFmtId="0" fontId="7" fillId="6" borderId="0" xfId="0" applyFont="1" applyFill="1"/>
    <xf numFmtId="0" fontId="41" fillId="0" borderId="0" xfId="0" applyFont="1"/>
    <xf numFmtId="0" fontId="7" fillId="0" borderId="0" xfId="8">
      <alignment wrapText="1"/>
    </xf>
    <xf numFmtId="0" fontId="0" fillId="0" borderId="0" xfId="0"/>
    <xf numFmtId="0" fontId="7" fillId="8" borderId="0" xfId="8" applyFill="1">
      <alignment wrapText="1"/>
    </xf>
    <xf numFmtId="0" fontId="7" fillId="8" borderId="0" xfId="8" applyFill="1" applyAlignment="1">
      <alignment wrapText="1"/>
    </xf>
    <xf numFmtId="0" fontId="7" fillId="0" borderId="0" xfId="8" applyFill="1" applyBorder="1">
      <alignment wrapText="1"/>
    </xf>
    <xf numFmtId="0" fontId="7" fillId="0" borderId="0" xfId="8" applyFill="1" applyBorder="1" applyAlignment="1"/>
    <xf numFmtId="0" fontId="7" fillId="8" borderId="0" xfId="9" applyFont="1" applyFill="1">
      <alignment wrapText="1"/>
    </xf>
    <xf numFmtId="0" fontId="7" fillId="0" borderId="0" xfId="8">
      <alignment wrapText="1"/>
    </xf>
    <xf numFmtId="0" fontId="7" fillId="0" borderId="0" xfId="8">
      <alignment wrapText="1"/>
    </xf>
    <xf numFmtId="0" fontId="7" fillId="0" borderId="0" xfId="9" applyFont="1">
      <alignment wrapText="1"/>
    </xf>
    <xf numFmtId="0" fontId="7" fillId="0" borderId="0" xfId="8">
      <alignment wrapText="1"/>
    </xf>
    <xf numFmtId="0" fontId="7" fillId="0" borderId="0" xfId="8">
      <alignment wrapText="1"/>
    </xf>
    <xf numFmtId="0" fontId="0" fillId="0" borderId="0" xfId="0"/>
    <xf numFmtId="0" fontId="0" fillId="0" borderId="0" xfId="0"/>
    <xf numFmtId="0" fontId="7" fillId="0" borderId="0" xfId="8">
      <alignment wrapText="1"/>
    </xf>
    <xf numFmtId="0" fontId="0" fillId="0" borderId="0" xfId="0"/>
    <xf numFmtId="0" fontId="42" fillId="0" borderId="0" xfId="0" applyFont="1" applyAlignment="1">
      <alignment horizontal="right"/>
    </xf>
    <xf numFmtId="0" fontId="8" fillId="0" borderId="0" xfId="8" applyFont="1" applyAlignment="1">
      <alignment horizontal="right" wrapText="1"/>
    </xf>
    <xf numFmtId="0" fontId="12" fillId="0" borderId="0" xfId="0" applyFont="1" applyAlignment="1">
      <alignment horizontal="right"/>
    </xf>
    <xf numFmtId="0" fontId="7" fillId="0" borderId="0" xfId="8">
      <alignment wrapText="1"/>
    </xf>
    <xf numFmtId="0" fontId="0" fillId="0" borderId="0" xfId="0"/>
    <xf numFmtId="0" fontId="8" fillId="0" borderId="0" xfId="9" applyAlignment="1"/>
    <xf numFmtId="0" fontId="8" fillId="0" borderId="0" xfId="9" applyAlignment="1">
      <alignment horizontal="right" wrapText="1"/>
    </xf>
    <xf numFmtId="0" fontId="18" fillId="0" borderId="0" xfId="8" applyFont="1" applyAlignment="1">
      <alignment horizontal="left"/>
    </xf>
    <xf numFmtId="0" fontId="7" fillId="0" borderId="0" xfId="8">
      <alignment wrapText="1"/>
    </xf>
    <xf numFmtId="0" fontId="7" fillId="0" borderId="0" xfId="8" applyFont="1" applyAlignment="1">
      <alignment horizontal="left" indent="2"/>
    </xf>
    <xf numFmtId="0" fontId="7" fillId="0" borderId="0" xfId="8">
      <alignment wrapText="1"/>
    </xf>
    <xf numFmtId="0" fontId="8" fillId="0" borderId="0" xfId="9" applyFont="1">
      <alignment wrapText="1"/>
    </xf>
    <xf numFmtId="0" fontId="7" fillId="0" borderId="0" xfId="8">
      <alignment wrapText="1"/>
    </xf>
    <xf numFmtId="0" fontId="0" fillId="0" borderId="0" xfId="0"/>
    <xf numFmtId="0" fontId="8" fillId="0" borderId="0" xfId="8" applyFont="1" applyFill="1" applyAlignment="1">
      <alignment vertical="top" wrapText="1"/>
    </xf>
    <xf numFmtId="0" fontId="15" fillId="0" borderId="0" xfId="8" applyFont="1" applyAlignment="1">
      <alignment horizontal="left" wrapText="1"/>
    </xf>
    <xf numFmtId="0" fontId="15" fillId="0" borderId="0" xfId="8" applyFont="1" applyAlignment="1">
      <alignment wrapText="1"/>
    </xf>
    <xf numFmtId="0" fontId="44" fillId="0" borderId="0" xfId="8" applyFont="1" applyAlignment="1">
      <alignment horizontal="left" wrapText="1"/>
    </xf>
    <xf numFmtId="0" fontId="8" fillId="0" borderId="0" xfId="8" applyFont="1" applyAlignment="1">
      <alignment vertical="top"/>
    </xf>
    <xf numFmtId="0" fontId="0" fillId="0" borderId="0" xfId="0"/>
    <xf numFmtId="166" fontId="7" fillId="0" borderId="0" xfId="11" applyFont="1">
      <alignment horizontal="right"/>
    </xf>
    <xf numFmtId="0" fontId="7" fillId="0" borderId="0" xfId="8">
      <alignment wrapText="1"/>
    </xf>
    <xf numFmtId="0" fontId="31" fillId="0" borderId="0" xfId="0" applyFont="1" applyFill="1" applyAlignment="1">
      <alignment wrapText="1"/>
    </xf>
    <xf numFmtId="0" fontId="7" fillId="0" borderId="9" xfId="0" applyFont="1" applyFill="1" applyBorder="1" applyAlignment="1">
      <alignment horizontal="right"/>
    </xf>
    <xf numFmtId="0" fontId="7" fillId="0" borderId="0" xfId="0" applyFont="1" applyFill="1" applyAlignment="1">
      <alignment horizontal="right"/>
    </xf>
    <xf numFmtId="0" fontId="5" fillId="0" borderId="0" xfId="9" applyFont="1" applyAlignment="1"/>
    <xf numFmtId="0" fontId="7" fillId="0" borderId="0" xfId="8">
      <alignment wrapText="1"/>
    </xf>
    <xf numFmtId="0" fontId="0" fillId="0" borderId="0" xfId="0"/>
    <xf numFmtId="0" fontId="7" fillId="0" borderId="0" xfId="8">
      <alignment wrapText="1"/>
    </xf>
    <xf numFmtId="0" fontId="7" fillId="0" borderId="0" xfId="8">
      <alignment wrapText="1"/>
    </xf>
    <xf numFmtId="0" fontId="7" fillId="0" borderId="0" xfId="8" applyFill="1">
      <alignment wrapText="1"/>
    </xf>
    <xf numFmtId="0" fontId="18" fillId="0" borderId="0" xfId="8" applyFont="1">
      <alignment wrapText="1"/>
    </xf>
    <xf numFmtId="0" fontId="8" fillId="0" borderId="0" xfId="9">
      <alignment wrapText="1"/>
    </xf>
    <xf numFmtId="0" fontId="0" fillId="0" borderId="0" xfId="0"/>
    <xf numFmtId="0" fontId="7" fillId="0" borderId="0" xfId="8" applyAlignment="1">
      <alignment horizontal="left" wrapText="1"/>
    </xf>
    <xf numFmtId="0" fontId="18" fillId="0" borderId="0" xfId="8" applyFont="1" applyAlignment="1">
      <alignment horizontal="left" wrapText="1"/>
    </xf>
    <xf numFmtId="0" fontId="6" fillId="0" borderId="0" xfId="8" applyFont="1" applyAlignment="1">
      <alignment horizontal="left" wrapText="1"/>
    </xf>
    <xf numFmtId="0" fontId="7" fillId="0" borderId="0" xfId="8" applyAlignment="1">
      <alignment wrapText="1"/>
    </xf>
    <xf numFmtId="0" fontId="7" fillId="0" borderId="0" xfId="8" applyFill="1" applyAlignment="1">
      <alignment horizontal="left" vertical="top" wrapText="1"/>
    </xf>
    <xf numFmtId="0" fontId="8" fillId="0" borderId="0" xfId="9" applyAlignment="1">
      <alignment horizontal="center" wrapText="1"/>
    </xf>
    <xf numFmtId="0" fontId="7" fillId="0" borderId="0" xfId="8" applyFill="1" applyAlignment="1">
      <alignment wrapText="1"/>
    </xf>
    <xf numFmtId="0" fontId="18" fillId="0" borderId="0" xfId="8" applyFont="1" applyAlignment="1">
      <alignment wrapText="1"/>
    </xf>
    <xf numFmtId="0" fontId="8" fillId="0" borderId="0" xfId="9" applyAlignment="1">
      <alignment wrapText="1"/>
    </xf>
    <xf numFmtId="0" fontId="7" fillId="0" borderId="0" xfId="8" applyAlignment="1">
      <alignment horizontal="left" wrapText="1" indent="1"/>
    </xf>
    <xf numFmtId="0" fontId="8" fillId="0" borderId="0" xfId="9" applyAlignment="1">
      <alignment horizontal="left" wrapText="1"/>
    </xf>
    <xf numFmtId="0" fontId="18" fillId="0" borderId="0" xfId="8" applyFont="1" applyAlignment="1"/>
    <xf numFmtId="0" fontId="18" fillId="0" borderId="0" xfId="9" applyFont="1" applyAlignment="1">
      <alignment horizontal="left" wrapText="1"/>
    </xf>
    <xf numFmtId="0" fontId="8" fillId="0" borderId="0" xfId="9" applyFill="1" applyAlignment="1">
      <alignment horizontal="right" wrapText="1"/>
    </xf>
    <xf numFmtId="0" fontId="8" fillId="0" borderId="0" xfId="9" applyFill="1" applyAlignment="1">
      <alignment horizontal="center" wrapText="1"/>
    </xf>
    <xf numFmtId="0" fontId="7" fillId="0" borderId="0" xfId="8" applyAlignment="1">
      <alignment wrapText="1"/>
    </xf>
    <xf numFmtId="0" fontId="7" fillId="0" borderId="0" xfId="8" applyFill="1" applyAlignment="1">
      <alignment wrapText="1"/>
    </xf>
    <xf numFmtId="0" fontId="7" fillId="0" borderId="0" xfId="8" applyAlignment="1">
      <alignment horizontal="left" wrapText="1"/>
    </xf>
    <xf numFmtId="0" fontId="7" fillId="0" borderId="0" xfId="8" applyAlignment="1">
      <alignment wrapText="1"/>
    </xf>
    <xf numFmtId="0" fontId="7" fillId="0" borderId="0" xfId="8" applyFill="1" applyAlignment="1">
      <alignment horizontal="left" wrapText="1"/>
    </xf>
    <xf numFmtId="0" fontId="7" fillId="0" borderId="0" xfId="8" applyFill="1" applyAlignment="1">
      <alignment wrapText="1"/>
    </xf>
    <xf numFmtId="10" fontId="7" fillId="0" borderId="0" xfId="8" applyNumberFormat="1" applyAlignment="1">
      <alignment horizontal="right" wrapText="1" indent="1"/>
    </xf>
    <xf numFmtId="0" fontId="7" fillId="0" borderId="16" xfId="8" applyBorder="1" applyAlignment="1">
      <alignment horizontal="left" wrapText="1"/>
    </xf>
    <xf numFmtId="0" fontId="8" fillId="0" borderId="16" xfId="8" applyFont="1" applyBorder="1" applyAlignment="1">
      <alignment horizontal="right" wrapText="1" indent="1"/>
    </xf>
    <xf numFmtId="10" fontId="7" fillId="0" borderId="16" xfId="8" applyNumberFormat="1" applyBorder="1" applyAlignment="1">
      <alignment horizontal="right" wrapText="1" indent="1"/>
    </xf>
    <xf numFmtId="0" fontId="7" fillId="0" borderId="16" xfId="8" applyBorder="1">
      <alignment wrapText="1"/>
    </xf>
    <xf numFmtId="0" fontId="18" fillId="0" borderId="0" xfId="8" applyFont="1" applyFill="1" applyAlignment="1">
      <alignment vertical="center"/>
    </xf>
    <xf numFmtId="0" fontId="6" fillId="0" borderId="0" xfId="8" applyFont="1" applyAlignment="1">
      <alignment horizontal="left" wrapText="1"/>
    </xf>
    <xf numFmtId="0" fontId="7" fillId="0" borderId="0" xfId="8" applyAlignment="1">
      <alignment wrapText="1"/>
    </xf>
    <xf numFmtId="0" fontId="7" fillId="0" borderId="0" xfId="8" applyFill="1" applyAlignment="1">
      <alignment wrapText="1"/>
    </xf>
    <xf numFmtId="0" fontId="18" fillId="0" borderId="0" xfId="8" applyFont="1" applyAlignment="1">
      <alignment wrapText="1"/>
    </xf>
    <xf numFmtId="0" fontId="6" fillId="0" borderId="0" xfId="8" applyFont="1" applyAlignment="1">
      <alignment horizontal="left" vertical="top" wrapText="1"/>
    </xf>
    <xf numFmtId="164" fontId="45" fillId="0" borderId="17" xfId="0" applyNumberFormat="1" applyFont="1" applyBorder="1"/>
    <xf numFmtId="0" fontId="7" fillId="0" borderId="17" xfId="0" applyFont="1" applyBorder="1"/>
    <xf numFmtId="0" fontId="5" fillId="0" borderId="0" xfId="8" applyFont="1">
      <alignment wrapText="1"/>
    </xf>
    <xf numFmtId="0" fontId="5" fillId="0" borderId="0" xfId="9" applyFont="1">
      <alignment wrapText="1"/>
    </xf>
    <xf numFmtId="0" fontId="5" fillId="0" borderId="0" xfId="8" applyFont="1" applyAlignment="1">
      <alignment vertical="top" wrapText="1"/>
    </xf>
    <xf numFmtId="0" fontId="5" fillId="0" borderId="0" xfId="8" quotePrefix="1" applyFont="1" applyAlignment="1">
      <alignment horizontal="left" wrapText="1"/>
    </xf>
    <xf numFmtId="164" fontId="6" fillId="0" borderId="0" xfId="0" applyNumberFormat="1" applyFont="1" applyAlignment="1">
      <alignment horizontal="left" vertical="center"/>
    </xf>
    <xf numFmtId="164" fontId="47" fillId="0" borderId="0" xfId="0" applyNumberFormat="1" applyFont="1"/>
    <xf numFmtId="164" fontId="45" fillId="0" borderId="0" xfId="14" applyNumberFormat="1" applyFont="1" applyAlignment="1">
      <alignment vertical="top"/>
    </xf>
    <xf numFmtId="0" fontId="5" fillId="0" borderId="0" xfId="9" applyFont="1" applyAlignment="1">
      <alignment horizontal="right" vertical="center"/>
    </xf>
    <xf numFmtId="0" fontId="5" fillId="0" borderId="0" xfId="9" applyFont="1" applyAlignment="1">
      <alignment vertical="center"/>
    </xf>
    <xf numFmtId="164" fontId="47" fillId="0" borderId="0" xfId="14" applyNumberFormat="1" applyFont="1" applyAlignment="1">
      <alignment horizontal="right"/>
    </xf>
    <xf numFmtId="164" fontId="45" fillId="0" borderId="0" xfId="14" quotePrefix="1" applyNumberFormat="1" applyFont="1" applyAlignment="1">
      <alignment horizontal="left"/>
    </xf>
    <xf numFmtId="164" fontId="45" fillId="0" borderId="0" xfId="14" applyNumberFormat="1" applyFont="1" applyAlignment="1">
      <alignment horizontal="right"/>
    </xf>
    <xf numFmtId="164" fontId="45" fillId="0" borderId="0" xfId="0" applyNumberFormat="1" applyFont="1"/>
    <xf numFmtId="164" fontId="45" fillId="0" borderId="0" xfId="14" applyNumberFormat="1" applyFont="1" applyAlignment="1">
      <alignment horizontal="center"/>
    </xf>
    <xf numFmtId="164" fontId="45" fillId="0" borderId="0" xfId="14" applyNumberFormat="1" applyFont="1"/>
    <xf numFmtId="166" fontId="6" fillId="0" borderId="0" xfId="10" applyFont="1">
      <alignment horizontal="right"/>
    </xf>
    <xf numFmtId="169" fontId="5" fillId="0" borderId="12" xfId="14" applyNumberFormat="1" applyFont="1" applyBorder="1"/>
    <xf numFmtId="169" fontId="45" fillId="0" borderId="0" xfId="14" applyNumberFormat="1" applyFont="1"/>
    <xf numFmtId="169" fontId="45" fillId="0" borderId="0" xfId="0" applyNumberFormat="1" applyFont="1"/>
    <xf numFmtId="169" fontId="47" fillId="0" borderId="0" xfId="14" quotePrefix="1" applyNumberFormat="1" applyFont="1"/>
    <xf numFmtId="169" fontId="45" fillId="0" borderId="0" xfId="14" applyNumberFormat="1" applyFont="1" applyAlignment="1">
      <alignment horizontal="right"/>
    </xf>
    <xf numFmtId="169" fontId="47" fillId="0" borderId="0" xfId="14" applyNumberFormat="1" applyFont="1"/>
    <xf numFmtId="166" fontId="5" fillId="0" borderId="11" xfId="10" applyFont="1" applyBorder="1">
      <alignment horizontal="right"/>
    </xf>
    <xf numFmtId="166" fontId="5" fillId="0" borderId="0" xfId="10" applyFont="1">
      <alignment horizontal="right"/>
    </xf>
    <xf numFmtId="164" fontId="5" fillId="0" borderId="0" xfId="0" applyNumberFormat="1" applyFont="1"/>
    <xf numFmtId="164" fontId="48" fillId="0" borderId="0" xfId="0" applyNumberFormat="1" applyFont="1"/>
    <xf numFmtId="164" fontId="47" fillId="0" borderId="0" xfId="14" applyNumberFormat="1" applyFont="1" applyAlignment="1">
      <alignment vertical="top"/>
    </xf>
    <xf numFmtId="164" fontId="45" fillId="0" borderId="0" xfId="14" applyNumberFormat="1" applyFont="1" applyAlignment="1">
      <alignment horizontal="right" vertical="top" wrapText="1"/>
    </xf>
    <xf numFmtId="164" fontId="45" fillId="0" borderId="0" xfId="14" applyNumberFormat="1" applyFont="1" applyAlignment="1">
      <alignment vertical="top" wrapText="1"/>
    </xf>
    <xf numFmtId="164" fontId="45" fillId="0" borderId="0" xfId="0" applyNumberFormat="1" applyFont="1" applyAlignment="1">
      <alignment horizontal="right" vertical="top" wrapText="1"/>
    </xf>
    <xf numFmtId="164" fontId="47" fillId="0" borderId="0" xfId="14" quotePrefix="1" applyNumberFormat="1" applyFont="1" applyAlignment="1">
      <alignment horizontal="left"/>
    </xf>
    <xf numFmtId="164" fontId="5" fillId="0" borderId="0" xfId="0" applyNumberFormat="1" applyFont="1" applyAlignment="1">
      <alignment horizontal="left" vertical="center"/>
    </xf>
    <xf numFmtId="164" fontId="47" fillId="0" borderId="0" xfId="14" applyNumberFormat="1" applyFont="1" applyAlignment="1">
      <alignment horizontal="center"/>
    </xf>
    <xf numFmtId="164" fontId="47" fillId="0" borderId="0" xfId="14" applyNumberFormat="1" applyFont="1"/>
    <xf numFmtId="0" fontId="18" fillId="0" borderId="0" xfId="8" applyFont="1" applyAlignment="1">
      <alignment wrapText="1"/>
    </xf>
    <xf numFmtId="0" fontId="7" fillId="0" borderId="0" xfId="8" applyAlignment="1">
      <alignment horizontal="left" wrapText="1" indent="1"/>
    </xf>
    <xf numFmtId="0" fontId="18" fillId="0" borderId="0" xfId="9" applyFont="1" applyAlignment="1">
      <alignment horizontal="left" wrapText="1"/>
    </xf>
    <xf numFmtId="0" fontId="7" fillId="0" borderId="0" xfId="8">
      <alignment wrapText="1"/>
    </xf>
    <xf numFmtId="164" fontId="47" fillId="0" borderId="0" xfId="0" applyNumberFormat="1" applyFont="1" applyAlignment="1">
      <alignment horizontal="left" wrapText="1" indent="4"/>
    </xf>
    <xf numFmtId="164" fontId="49" fillId="0" borderId="0" xfId="0" applyNumberFormat="1" applyFont="1" applyAlignment="1">
      <alignment horizontal="left" wrapText="1" indent="6"/>
    </xf>
    <xf numFmtId="164" fontId="5" fillId="0" borderId="0" xfId="0" applyNumberFormat="1" applyFont="1" applyAlignment="1">
      <alignment wrapText="1"/>
    </xf>
    <xf numFmtId="164" fontId="50" fillId="0" borderId="0" xfId="0" applyNumberFormat="1" applyFont="1" applyAlignment="1">
      <alignment wrapText="1"/>
    </xf>
    <xf numFmtId="164" fontId="51" fillId="0" borderId="0" xfId="0" applyNumberFormat="1" applyFont="1"/>
    <xf numFmtId="164" fontId="52" fillId="0" borderId="0" xfId="0" applyNumberFormat="1" applyFont="1"/>
    <xf numFmtId="164" fontId="6" fillId="0" borderId="0" xfId="15" applyNumberFormat="1" applyFont="1" applyAlignment="1">
      <alignment horizontal="left" vertical="top"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6" fillId="0" borderId="20" xfId="0" applyFont="1" applyBorder="1" applyAlignment="1">
      <alignment vertical="center" wrapText="1"/>
    </xf>
    <xf numFmtId="0" fontId="6" fillId="0" borderId="21" xfId="0" applyFont="1" applyBorder="1" applyAlignment="1">
      <alignment vertical="center" wrapText="1"/>
    </xf>
    <xf numFmtId="0" fontId="6" fillId="0" borderId="22" xfId="0" applyFont="1" applyBorder="1" applyAlignment="1">
      <alignment vertical="center" wrapText="1"/>
    </xf>
    <xf numFmtId="0" fontId="6" fillId="0" borderId="23" xfId="0" applyFont="1" applyBorder="1" applyAlignment="1">
      <alignment vertical="center" wrapText="1"/>
    </xf>
    <xf numFmtId="0" fontId="7" fillId="0" borderId="0" xfId="8" applyAlignment="1">
      <alignment wrapText="1"/>
    </xf>
    <xf numFmtId="0" fontId="7" fillId="0" borderId="0" xfId="8">
      <alignment wrapText="1"/>
    </xf>
    <xf numFmtId="0" fontId="6" fillId="0" borderId="0" xfId="8" applyFont="1">
      <alignment wrapText="1"/>
    </xf>
    <xf numFmtId="0" fontId="5" fillId="0" borderId="0" xfId="8" applyFont="1" applyFill="1" applyAlignment="1">
      <alignment horizontal="left" wrapText="1"/>
    </xf>
    <xf numFmtId="0" fontId="55" fillId="0" borderId="0" xfId="8" applyFont="1" applyAlignment="1"/>
    <xf numFmtId="0" fontId="5" fillId="0" borderId="0" xfId="8" applyFont="1" applyAlignment="1"/>
    <xf numFmtId="0" fontId="5" fillId="0" borderId="0" xfId="8" quotePrefix="1" applyFont="1" applyAlignment="1">
      <alignment horizontal="right" wrapText="1"/>
    </xf>
    <xf numFmtId="0" fontId="5" fillId="0" borderId="0" xfId="8" applyFont="1" applyAlignment="1">
      <alignment horizontal="left" indent="1"/>
    </xf>
    <xf numFmtId="0" fontId="6" fillId="0" borderId="0" xfId="8" applyFont="1" applyAlignment="1">
      <alignment horizontal="left" indent="2"/>
    </xf>
    <xf numFmtId="0" fontId="6" fillId="0" borderId="0" xfId="8" applyFont="1" applyAlignment="1">
      <alignment horizontal="left" wrapText="1" indent="2"/>
    </xf>
    <xf numFmtId="0" fontId="5" fillId="0" borderId="0" xfId="8" applyFont="1" applyAlignment="1">
      <alignment horizontal="left" indent="2"/>
    </xf>
    <xf numFmtId="166" fontId="5" fillId="0" borderId="11" xfId="6" applyFont="1">
      <alignment horizontal="right"/>
    </xf>
    <xf numFmtId="0" fontId="6" fillId="0" borderId="0" xfId="8" applyFont="1" applyAlignment="1">
      <alignment horizontal="left" indent="1"/>
    </xf>
    <xf numFmtId="0" fontId="5" fillId="0" borderId="0" xfId="8" applyFont="1" applyAlignment="1">
      <alignment horizontal="left" wrapText="1" indent="2"/>
    </xf>
    <xf numFmtId="0" fontId="7" fillId="0" borderId="0" xfId="8" applyAlignment="1">
      <alignment horizontal="left" wrapText="1"/>
    </xf>
    <xf numFmtId="0" fontId="7" fillId="0" borderId="0" xfId="8" applyFont="1" applyAlignment="1">
      <alignment horizontal="left" wrapText="1"/>
    </xf>
    <xf numFmtId="0" fontId="6" fillId="0" borderId="0" xfId="8" applyFont="1" applyAlignment="1">
      <alignment horizontal="left" wrapText="1"/>
    </xf>
    <xf numFmtId="0" fontId="7" fillId="0" borderId="0" xfId="8" applyAlignment="1">
      <alignment wrapText="1"/>
    </xf>
    <xf numFmtId="0" fontId="7" fillId="0" borderId="0" xfId="8">
      <alignment wrapText="1"/>
    </xf>
    <xf numFmtId="0" fontId="7" fillId="0" borderId="0" xfId="8" applyAlignment="1">
      <alignment horizontal="left" wrapText="1" indent="1"/>
    </xf>
    <xf numFmtId="0" fontId="6" fillId="0" borderId="0" xfId="8" applyFont="1">
      <alignment wrapText="1"/>
    </xf>
    <xf numFmtId="0" fontId="6" fillId="0" borderId="0" xfId="8" applyFont="1" applyAlignment="1">
      <alignment vertical="top" wrapText="1"/>
    </xf>
    <xf numFmtId="0" fontId="6" fillId="0" borderId="0" xfId="8" applyFont="1" applyAlignment="1">
      <alignment vertical="center" wrapText="1"/>
    </xf>
    <xf numFmtId="0" fontId="7" fillId="0" borderId="0" xfId="8" applyAlignment="1">
      <alignment horizontal="left" vertical="top" wrapText="1" indent="1"/>
    </xf>
    <xf numFmtId="166" fontId="7" fillId="0" borderId="0" xfId="8" applyNumberFormat="1">
      <alignment wrapText="1"/>
    </xf>
    <xf numFmtId="164" fontId="45" fillId="0" borderId="0" xfId="0" applyNumberFormat="1" applyFont="1" applyBorder="1"/>
    <xf numFmtId="0" fontId="7" fillId="0" borderId="0" xfId="8" applyAlignment="1">
      <alignment horizontal="left" wrapText="1"/>
    </xf>
    <xf numFmtId="0" fontId="7" fillId="0" borderId="0" xfId="8" applyAlignment="1">
      <alignment wrapText="1"/>
    </xf>
    <xf numFmtId="0" fontId="7" fillId="0" borderId="0" xfId="8">
      <alignment wrapText="1"/>
    </xf>
    <xf numFmtId="0" fontId="7" fillId="0" borderId="0" xfId="8" applyAlignment="1">
      <alignment horizontal="left" wrapText="1" indent="1"/>
    </xf>
    <xf numFmtId="164" fontId="54" fillId="0" borderId="0" xfId="15" applyNumberFormat="1" applyFont="1" applyAlignment="1">
      <alignment vertical="center" wrapText="1"/>
    </xf>
    <xf numFmtId="164" fontId="54" fillId="0" borderId="0" xfId="15" applyNumberFormat="1" applyFont="1" applyAlignment="1">
      <alignment vertical="center"/>
    </xf>
    <xf numFmtId="0" fontId="0" fillId="0" borderId="17" xfId="0" applyBorder="1" applyAlignment="1">
      <alignment horizontal="left"/>
    </xf>
    <xf numFmtId="0" fontId="6" fillId="0" borderId="0" xfId="8" applyFont="1" applyFill="1" applyAlignment="1"/>
    <xf numFmtId="166" fontId="8" fillId="0" borderId="10" xfId="7" applyAlignment="1">
      <alignment horizontal="right"/>
    </xf>
    <xf numFmtId="0" fontId="7" fillId="7" borderId="0" xfId="0" applyFont="1" applyFill="1" applyAlignment="1">
      <alignment horizontal="left" wrapText="1"/>
    </xf>
    <xf numFmtId="0" fontId="29" fillId="0" borderId="0" xfId="0" applyFont="1" applyFill="1" applyAlignment="1">
      <alignment horizontal="center" wrapText="1"/>
    </xf>
    <xf numFmtId="0" fontId="13" fillId="0" borderId="0" xfId="0" applyFont="1" applyAlignment="1">
      <alignment horizontal="left"/>
    </xf>
    <xf numFmtId="0" fontId="9" fillId="0" borderId="0" xfId="0" applyFont="1" applyAlignment="1">
      <alignment horizontal="left" wrapText="1"/>
    </xf>
    <xf numFmtId="2" fontId="5" fillId="0" borderId="0" xfId="0" quotePrefix="1" applyNumberFormat="1" applyFont="1" applyFill="1" applyBorder="1" applyAlignment="1">
      <alignment horizontal="center" vertical="center"/>
    </xf>
    <xf numFmtId="0" fontId="8" fillId="0" borderId="0" xfId="9" quotePrefix="1" applyAlignment="1">
      <alignment horizontal="center" wrapText="1"/>
    </xf>
    <xf numFmtId="0" fontId="6" fillId="0" borderId="0" xfId="8" applyFont="1" applyAlignment="1">
      <alignment horizontal="left" vertical="top" wrapText="1"/>
    </xf>
    <xf numFmtId="0" fontId="7" fillId="0" borderId="0" xfId="8" applyAlignment="1">
      <alignment horizontal="left" wrapText="1"/>
    </xf>
    <xf numFmtId="0" fontId="7" fillId="0" borderId="0" xfId="0" applyFont="1" applyAlignment="1">
      <alignment horizontal="left" wrapText="1"/>
    </xf>
    <xf numFmtId="0" fontId="7" fillId="0" borderId="0" xfId="8" applyFont="1" applyAlignment="1">
      <alignment horizontal="left" wrapText="1"/>
    </xf>
    <xf numFmtId="0" fontId="6" fillId="0" borderId="0" xfId="8" applyFont="1" applyAlignment="1">
      <alignment horizontal="left" wrapText="1"/>
    </xf>
    <xf numFmtId="0" fontId="15" fillId="0" borderId="0" xfId="8" applyFont="1" applyAlignment="1">
      <alignment horizontal="left" wrapText="1"/>
    </xf>
    <xf numFmtId="0" fontId="5" fillId="0" borderId="0" xfId="8" applyFont="1" applyFill="1" applyAlignment="1">
      <alignment horizontal="left" wrapText="1"/>
    </xf>
    <xf numFmtId="0" fontId="6" fillId="0" borderId="0" xfId="8" applyFont="1" applyFill="1" applyAlignment="1">
      <alignment horizontal="left" wrapText="1"/>
    </xf>
    <xf numFmtId="0" fontId="7" fillId="0" borderId="0" xfId="8" applyFont="1" applyAlignment="1">
      <alignment horizontal="left" vertical="top" wrapText="1"/>
    </xf>
    <xf numFmtId="0" fontId="18" fillId="0" borderId="0" xfId="8" applyFont="1" applyAlignment="1">
      <alignment horizontal="left" wrapText="1"/>
    </xf>
    <xf numFmtId="0" fontId="18" fillId="0" borderId="0" xfId="8" applyFont="1" applyFill="1" applyAlignment="1">
      <alignment horizontal="left" vertical="center" wrapText="1"/>
    </xf>
    <xf numFmtId="164" fontId="6" fillId="0" borderId="0" xfId="0" applyNumberFormat="1" applyFont="1" applyAlignment="1">
      <alignment horizontal="left" vertical="center"/>
    </xf>
    <xf numFmtId="2" fontId="5" fillId="0" borderId="0" xfId="0" quotePrefix="1" applyNumberFormat="1" applyFont="1" applyAlignment="1">
      <alignment horizontal="center" vertical="center"/>
    </xf>
    <xf numFmtId="164" fontId="6" fillId="0" borderId="0" xfId="0" quotePrefix="1" applyNumberFormat="1" applyFont="1" applyAlignment="1">
      <alignment horizontal="left" vertical="center" wrapText="1"/>
    </xf>
    <xf numFmtId="0" fontId="12" fillId="0" borderId="0" xfId="0" applyFont="1" applyAlignment="1">
      <alignment horizontal="center"/>
    </xf>
    <xf numFmtId="0" fontId="7" fillId="0" borderId="0" xfId="8" applyFill="1" applyAlignment="1">
      <alignment horizontal="left" wrapText="1"/>
    </xf>
    <xf numFmtId="0" fontId="8" fillId="0" borderId="0" xfId="9" applyAlignment="1">
      <alignment horizontal="center" wrapText="1"/>
    </xf>
    <xf numFmtId="0" fontId="7" fillId="0" borderId="0" xfId="8" applyFill="1" applyAlignment="1">
      <alignment wrapText="1"/>
    </xf>
    <xf numFmtId="0" fontId="18" fillId="0" borderId="0" xfId="8" applyFont="1" applyFill="1" applyAlignment="1">
      <alignment horizontal="left" wrapText="1"/>
    </xf>
    <xf numFmtId="0" fontId="6" fillId="0" borderId="0" xfId="8" applyFont="1">
      <alignment wrapText="1"/>
    </xf>
    <xf numFmtId="0" fontId="18" fillId="0" borderId="0" xfId="8" applyFont="1" applyAlignment="1">
      <alignment horizontal="left" vertical="center" wrapText="1"/>
    </xf>
    <xf numFmtId="0" fontId="8" fillId="0" borderId="0" xfId="9" applyAlignment="1">
      <alignment wrapText="1"/>
    </xf>
    <xf numFmtId="0" fontId="7" fillId="0" borderId="0" xfId="8" applyAlignment="1">
      <alignment wrapText="1"/>
    </xf>
    <xf numFmtId="0" fontId="7" fillId="0" borderId="0" xfId="8">
      <alignment wrapText="1"/>
    </xf>
    <xf numFmtId="0" fontId="7" fillId="0" borderId="0" xfId="8" applyAlignment="1">
      <alignment horizontal="left" wrapText="1" indent="1"/>
    </xf>
    <xf numFmtId="164" fontId="6" fillId="0" borderId="0" xfId="0" applyNumberFormat="1" applyFont="1" applyAlignment="1">
      <alignment horizontal="left" vertical="center" wrapText="1"/>
    </xf>
    <xf numFmtId="0" fontId="7" fillId="0" borderId="0" xfId="8" applyAlignment="1">
      <alignment horizontal="left" vertical="top" wrapText="1"/>
    </xf>
    <xf numFmtId="0" fontId="7" fillId="0" borderId="0" xfId="8" applyFill="1" applyAlignment="1">
      <alignment horizontal="left" vertical="center" wrapText="1"/>
    </xf>
    <xf numFmtId="0" fontId="18" fillId="0" borderId="0" xfId="8" applyFont="1" applyAlignment="1">
      <alignment horizontal="left" vertical="top" wrapText="1"/>
    </xf>
    <xf numFmtId="0" fontId="18" fillId="0" borderId="0" xfId="8" applyFont="1" applyAlignment="1">
      <alignment wrapText="1"/>
    </xf>
    <xf numFmtId="164" fontId="6" fillId="0" borderId="0" xfId="0" applyNumberFormat="1" applyFont="1" applyAlignment="1">
      <alignment vertical="center" wrapText="1"/>
    </xf>
    <xf numFmtId="164" fontId="6" fillId="0" borderId="0" xfId="0" applyNumberFormat="1" applyFont="1" applyAlignment="1">
      <alignment wrapText="1"/>
    </xf>
    <xf numFmtId="0" fontId="18" fillId="0" borderId="0" xfId="8" applyFont="1" applyAlignment="1">
      <alignment horizontal="left" wrapText="1" indent="1"/>
    </xf>
    <xf numFmtId="0" fontId="18" fillId="0" borderId="0" xfId="8" quotePrefix="1" applyFont="1" applyAlignment="1">
      <alignment wrapText="1"/>
    </xf>
    <xf numFmtId="0" fontId="6" fillId="0" borderId="0" xfId="8" applyFont="1" applyAlignment="1">
      <alignment horizontal="left" vertical="center" wrapText="1"/>
    </xf>
    <xf numFmtId="164" fontId="6" fillId="0" borderId="0" xfId="15" applyNumberFormat="1" applyFont="1" applyAlignment="1">
      <alignment horizontal="left" vertical="center" wrapText="1"/>
    </xf>
    <xf numFmtId="164" fontId="6" fillId="0" borderId="0" xfId="15" applyNumberFormat="1" applyFont="1" applyFill="1" applyAlignment="1">
      <alignment horizontal="left" vertical="center" wrapText="1"/>
    </xf>
    <xf numFmtId="164" fontId="6" fillId="0" borderId="0" xfId="15" applyNumberFormat="1" applyFont="1" applyAlignment="1">
      <alignment horizontal="left" vertical="top" wrapText="1"/>
    </xf>
    <xf numFmtId="0" fontId="18" fillId="0" borderId="0" xfId="9" applyFont="1" applyAlignment="1">
      <alignment horizontal="left" vertical="center"/>
    </xf>
    <xf numFmtId="0" fontId="8" fillId="0" borderId="0" xfId="9" applyFill="1" applyAlignment="1">
      <alignment horizontal="right" wrapText="1"/>
    </xf>
    <xf numFmtId="0" fontId="8" fillId="0" borderId="0" xfId="9" applyFill="1" applyAlignment="1">
      <alignment horizontal="center" wrapText="1"/>
    </xf>
  </cellXfs>
  <cellStyles count="16">
    <cellStyle name="Bold text" xfId="9" xr:uid="{00000000-0005-0000-0000-000000000000}"/>
    <cellStyle name="Bold value" xfId="11" xr:uid="{00000000-0005-0000-0000-000001000000}"/>
    <cellStyle name="Comma" xfId="1" builtinId="3"/>
    <cellStyle name="Grand total" xfId="7" xr:uid="{00000000-0005-0000-0000-000003000000}"/>
    <cellStyle name="Heading 1" xfId="2" builtinId="16" customBuiltin="1"/>
    <cellStyle name="Heading 2" xfId="3" builtinId="17" customBuiltin="1"/>
    <cellStyle name="Heading 3" xfId="4" builtinId="18" customBuiltin="1"/>
    <cellStyle name="Heading 4" xfId="5" builtinId="19" customBuiltin="1"/>
    <cellStyle name="Normal" xfId="0" builtinId="0"/>
    <cellStyle name="Normal 3" xfId="15" xr:uid="{86C80133-9226-411E-9093-5E9424025674}"/>
    <cellStyle name="Normal text" xfId="8" xr:uid="{00000000-0005-0000-0000-000009000000}"/>
    <cellStyle name="Normal_ACCOUNTS" xfId="14" xr:uid="{87646341-D251-4E7D-B244-21D69BF43304}"/>
    <cellStyle name="Percent" xfId="12" builtinId="5"/>
    <cellStyle name="Percentage%" xfId="13" xr:uid="{76B53BF4-51D1-4CAC-A4D1-346C70CA0818}"/>
    <cellStyle name="Sub total" xfId="6" xr:uid="{00000000-0005-0000-0000-00000B000000}"/>
    <cellStyle name="Value" xfId="10" xr:uid="{00000000-0005-0000-0000-00000C000000}"/>
  </cellStyles>
  <dxfs count="0"/>
  <tableStyles count="0" defaultTableStyle="TableStyleMedium2" defaultPivotStyle="PivotStyleLight16"/>
  <colors>
    <mruColors>
      <color rgb="FF0000FF"/>
      <color rgb="FF00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ustomXml" Target="../customXml/item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69.bin"/><Relationship Id="rId1" Type="http://schemas.openxmlformats.org/officeDocument/2006/relationships/printerSettings" Target="../printerSettings/printerSettings68.bin"/></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FFC000"/>
  </sheetPr>
  <dimension ref="A1:M93"/>
  <sheetViews>
    <sheetView showGridLines="0" topLeftCell="A2" zoomScaleNormal="100" workbookViewId="0">
      <selection activeCell="B3" sqref="B3"/>
    </sheetView>
  </sheetViews>
  <sheetFormatPr defaultColWidth="9.140625" defaultRowHeight="15" x14ac:dyDescent="0.25"/>
  <cols>
    <col min="1" max="1" width="3.42578125" style="44" customWidth="1"/>
    <col min="2" max="2" width="83.7109375" style="59" customWidth="1"/>
    <col min="3" max="3" width="9.140625" style="44"/>
    <col min="4" max="4" width="19.28515625" style="44" customWidth="1"/>
    <col min="5" max="16384" width="9.140625" style="44"/>
  </cols>
  <sheetData>
    <row r="1" spans="1:6" s="192" customFormat="1" x14ac:dyDescent="0.25">
      <c r="A1" s="350" t="s">
        <v>1310</v>
      </c>
      <c r="B1" s="351"/>
      <c r="C1" s="351"/>
      <c r="D1" s="351"/>
      <c r="E1" s="351"/>
      <c r="F1" s="351"/>
    </row>
    <row r="2" spans="1:6" s="192" customFormat="1" x14ac:dyDescent="0.25">
      <c r="B2" s="59"/>
    </row>
    <row r="4" spans="1:6" ht="24.75" customHeight="1" x14ac:dyDescent="0.35">
      <c r="A4" s="192"/>
      <c r="B4" s="84" t="s">
        <v>0</v>
      </c>
      <c r="C4" s="192"/>
      <c r="D4" s="192"/>
      <c r="E4" s="192"/>
      <c r="F4" s="192"/>
    </row>
    <row r="5" spans="1:6" ht="18" customHeight="1" x14ac:dyDescent="0.35">
      <c r="A5" s="192"/>
      <c r="B5" s="84"/>
      <c r="C5" s="192"/>
      <c r="D5" s="192"/>
      <c r="E5" s="192"/>
      <c r="F5" s="192"/>
    </row>
    <row r="6" spans="1:6" ht="13.7" customHeight="1" x14ac:dyDescent="0.25">
      <c r="A6" s="192"/>
      <c r="B6" s="306" t="s">
        <v>1308</v>
      </c>
      <c r="C6" s="192"/>
      <c r="D6" s="192"/>
      <c r="E6" s="192"/>
      <c r="F6" s="192"/>
    </row>
    <row r="7" spans="1:6" x14ac:dyDescent="0.25">
      <c r="A7" s="192"/>
      <c r="C7" s="192"/>
      <c r="D7" s="192"/>
      <c r="E7" s="192"/>
      <c r="F7" s="192"/>
    </row>
    <row r="8" spans="1:6" s="58" customFormat="1" ht="15.75" x14ac:dyDescent="0.25">
      <c r="A8" s="55" t="s">
        <v>1</v>
      </c>
      <c r="B8" s="56"/>
      <c r="D8" s="192"/>
      <c r="E8" s="192"/>
    </row>
    <row r="9" spans="1:6" x14ac:dyDescent="0.25">
      <c r="A9" s="192"/>
      <c r="C9" s="192"/>
      <c r="D9" s="192"/>
      <c r="E9" s="192"/>
      <c r="F9" s="192"/>
    </row>
    <row r="10" spans="1:6" ht="30" x14ac:dyDescent="0.25">
      <c r="A10" s="192"/>
      <c r="B10" s="59" t="s">
        <v>2</v>
      </c>
      <c r="C10" s="192"/>
      <c r="D10" s="192"/>
      <c r="E10" s="192"/>
      <c r="F10" s="192"/>
    </row>
    <row r="11" spans="1:6" x14ac:dyDescent="0.25">
      <c r="A11" s="192"/>
      <c r="C11" s="192"/>
      <c r="D11" s="192"/>
      <c r="E11" s="192"/>
      <c r="F11" s="192"/>
    </row>
    <row r="12" spans="1:6" ht="90" x14ac:dyDescent="0.25">
      <c r="A12" s="192"/>
      <c r="B12" s="59" t="s">
        <v>3</v>
      </c>
      <c r="C12" s="192"/>
      <c r="D12" s="59"/>
      <c r="E12" s="192"/>
      <c r="F12" s="192"/>
    </row>
    <row r="13" spans="1:6" x14ac:dyDescent="0.25">
      <c r="A13" s="192"/>
      <c r="C13" s="192"/>
      <c r="D13" s="192"/>
      <c r="E13" s="192"/>
      <c r="F13" s="192"/>
    </row>
    <row r="14" spans="1:6" ht="89.45" customHeight="1" x14ac:dyDescent="0.25">
      <c r="A14" s="192"/>
      <c r="B14" s="59" t="s">
        <v>4</v>
      </c>
      <c r="C14" s="192"/>
      <c r="D14" s="59"/>
      <c r="E14" s="192"/>
      <c r="F14" s="192"/>
    </row>
    <row r="15" spans="1:6" x14ac:dyDescent="0.25">
      <c r="A15" s="192"/>
      <c r="C15" s="192"/>
      <c r="D15" s="192"/>
      <c r="E15" s="192"/>
      <c r="F15" s="192"/>
    </row>
    <row r="16" spans="1:6" ht="120" x14ac:dyDescent="0.25">
      <c r="A16" s="192"/>
      <c r="B16" s="59" t="s">
        <v>5</v>
      </c>
      <c r="C16" s="192"/>
      <c r="D16" s="192"/>
      <c r="E16" s="192"/>
      <c r="F16" s="192"/>
    </row>
    <row r="17" spans="1:13" x14ac:dyDescent="0.25">
      <c r="A17" s="192"/>
      <c r="C17" s="192"/>
      <c r="D17" s="192"/>
      <c r="E17" s="192"/>
      <c r="F17" s="192"/>
    </row>
    <row r="18" spans="1:13" ht="45" x14ac:dyDescent="0.25">
      <c r="A18" s="192"/>
      <c r="B18" s="59" t="s">
        <v>1300</v>
      </c>
      <c r="C18" s="192"/>
      <c r="D18" s="192"/>
      <c r="E18" s="192"/>
      <c r="F18" s="192"/>
    </row>
    <row r="19" spans="1:13" x14ac:dyDescent="0.25">
      <c r="A19" s="192"/>
      <c r="C19" s="192"/>
      <c r="D19" s="192"/>
      <c r="E19" s="192"/>
      <c r="F19" s="192"/>
      <c r="G19" s="192"/>
      <c r="H19" s="192"/>
      <c r="I19" s="192"/>
      <c r="J19" s="192"/>
      <c r="K19" s="192"/>
      <c r="L19" s="192"/>
      <c r="M19" s="192"/>
    </row>
    <row r="20" spans="1:13" ht="15.75" x14ac:dyDescent="0.25">
      <c r="A20" s="55" t="s">
        <v>6</v>
      </c>
      <c r="B20" s="57"/>
      <c r="C20" s="192"/>
      <c r="D20" s="192"/>
      <c r="E20" s="192"/>
      <c r="F20" s="192"/>
      <c r="G20" s="192"/>
      <c r="H20" s="192"/>
      <c r="I20" s="192"/>
      <c r="J20" s="192"/>
      <c r="K20" s="192"/>
      <c r="L20" s="192"/>
      <c r="M20" s="192"/>
    </row>
    <row r="22" spans="1:13" ht="45" x14ac:dyDescent="0.25">
      <c r="A22" s="192"/>
      <c r="B22" s="59" t="s">
        <v>7</v>
      </c>
      <c r="C22" s="192"/>
      <c r="D22" s="192"/>
      <c r="E22" s="192"/>
      <c r="F22" s="192"/>
      <c r="G22" s="192"/>
      <c r="H22" s="192"/>
      <c r="I22" s="192"/>
      <c r="J22" s="192"/>
      <c r="K22" s="192"/>
      <c r="L22" s="192"/>
      <c r="M22" s="192"/>
    </row>
    <row r="23" spans="1:13" ht="30" x14ac:dyDescent="0.25">
      <c r="A23" s="192"/>
      <c r="B23" s="61" t="s">
        <v>8</v>
      </c>
      <c r="C23" s="192"/>
      <c r="D23" s="192"/>
      <c r="E23" s="192"/>
      <c r="F23" s="192"/>
      <c r="G23" s="192"/>
      <c r="H23" s="192"/>
      <c r="I23" s="192"/>
      <c r="J23" s="192"/>
      <c r="K23" s="192"/>
      <c r="L23" s="192"/>
      <c r="M23" s="192"/>
    </row>
    <row r="24" spans="1:13" ht="105" x14ac:dyDescent="0.25">
      <c r="A24" s="192"/>
      <c r="B24" s="60" t="s">
        <v>9</v>
      </c>
      <c r="C24" s="192"/>
      <c r="D24" s="192"/>
      <c r="E24" s="192"/>
      <c r="F24" s="192"/>
      <c r="G24" s="192"/>
      <c r="H24" s="192"/>
      <c r="I24" s="192"/>
      <c r="J24" s="192"/>
      <c r="K24" s="192"/>
      <c r="L24" s="192"/>
      <c r="M24" s="192"/>
    </row>
    <row r="26" spans="1:13" ht="30" x14ac:dyDescent="0.25">
      <c r="A26" s="192"/>
      <c r="B26" s="59" t="s">
        <v>10</v>
      </c>
      <c r="C26" s="192"/>
      <c r="D26" s="192"/>
      <c r="E26" s="192"/>
      <c r="F26" s="192"/>
      <c r="G26" s="192"/>
      <c r="H26" s="192"/>
      <c r="I26" s="192"/>
      <c r="J26" s="192"/>
      <c r="K26" s="192"/>
      <c r="L26" s="192"/>
      <c r="M26" s="192"/>
    </row>
    <row r="28" spans="1:13" ht="90" x14ac:dyDescent="0.25">
      <c r="A28" s="192"/>
      <c r="B28" s="157" t="s">
        <v>1302</v>
      </c>
      <c r="C28" s="192"/>
      <c r="D28" s="192"/>
      <c r="E28" s="192"/>
      <c r="F28" s="192"/>
      <c r="G28" s="192"/>
      <c r="H28" s="192"/>
      <c r="I28" s="192"/>
      <c r="J28" s="192"/>
      <c r="K28" s="192"/>
      <c r="L28" s="192"/>
      <c r="M28" s="192"/>
    </row>
    <row r="29" spans="1:13" x14ac:dyDescent="0.25">
      <c r="A29" s="192"/>
      <c r="C29" s="192"/>
      <c r="D29" s="192"/>
      <c r="E29" s="192"/>
      <c r="F29" s="192"/>
      <c r="G29" s="192"/>
      <c r="H29" s="192"/>
      <c r="I29" s="192"/>
      <c r="J29" s="192"/>
      <c r="K29" s="192"/>
      <c r="L29" s="192"/>
      <c r="M29" s="192"/>
    </row>
    <row r="30" spans="1:13" ht="92.25" customHeight="1" x14ac:dyDescent="0.25">
      <c r="A30" s="192"/>
      <c r="B30" s="157" t="s">
        <v>1301</v>
      </c>
      <c r="C30" s="192"/>
      <c r="D30" s="192"/>
      <c r="E30" s="192"/>
      <c r="F30" s="192"/>
      <c r="G30" s="192"/>
      <c r="H30" s="192"/>
      <c r="I30" s="192"/>
      <c r="J30" s="192"/>
      <c r="K30" s="192"/>
      <c r="L30" s="192"/>
      <c r="M30" s="192"/>
    </row>
    <row r="31" spans="1:13" x14ac:dyDescent="0.25">
      <c r="A31" s="192"/>
      <c r="C31" s="192"/>
      <c r="D31" s="192"/>
      <c r="E31" s="192"/>
      <c r="F31" s="192"/>
      <c r="G31" s="192"/>
      <c r="H31" s="192"/>
      <c r="I31" s="192"/>
      <c r="J31" s="192"/>
      <c r="K31" s="192"/>
      <c r="L31" s="192"/>
      <c r="M31" s="192"/>
    </row>
    <row r="32" spans="1:13" ht="15.75" x14ac:dyDescent="0.25">
      <c r="A32" s="55" t="s">
        <v>11</v>
      </c>
      <c r="B32" s="57"/>
      <c r="C32" s="192"/>
      <c r="D32" s="192"/>
      <c r="E32" s="192"/>
      <c r="F32" s="192"/>
      <c r="G32" s="192"/>
      <c r="H32" s="192"/>
      <c r="I32" s="192"/>
      <c r="J32" s="192"/>
      <c r="K32" s="192"/>
      <c r="L32" s="192"/>
      <c r="M32" s="192"/>
    </row>
    <row r="34" spans="1:13" ht="60.75" customHeight="1" x14ac:dyDescent="0.25">
      <c r="A34" s="192"/>
      <c r="B34" s="59" t="s">
        <v>12</v>
      </c>
      <c r="C34" s="192"/>
      <c r="D34" s="192"/>
      <c r="E34" s="192"/>
      <c r="F34" s="192"/>
      <c r="G34" s="192"/>
      <c r="H34" s="192"/>
      <c r="I34" s="192"/>
      <c r="J34" s="192"/>
      <c r="K34" s="192"/>
      <c r="L34" s="192"/>
      <c r="M34" s="192"/>
    </row>
    <row r="36" spans="1:13" ht="75.2" customHeight="1" x14ac:dyDescent="0.25">
      <c r="A36" s="192"/>
      <c r="B36" s="59" t="s">
        <v>13</v>
      </c>
      <c r="C36" s="192"/>
      <c r="D36" s="192"/>
      <c r="E36" s="192"/>
      <c r="F36" s="192"/>
      <c r="G36" s="192"/>
      <c r="H36" s="192"/>
      <c r="I36" s="192"/>
      <c r="J36" s="192"/>
      <c r="K36" s="192"/>
      <c r="L36" s="192"/>
    </row>
    <row r="38" spans="1:13" x14ac:dyDescent="0.25">
      <c r="A38" s="192"/>
      <c r="B38" s="59" t="s">
        <v>14</v>
      </c>
      <c r="C38" s="192"/>
      <c r="D38" s="192"/>
      <c r="E38" s="192"/>
      <c r="F38" s="192"/>
      <c r="G38" s="192"/>
      <c r="H38" s="192"/>
      <c r="I38" s="192"/>
      <c r="J38" s="192"/>
      <c r="K38" s="192"/>
      <c r="L38" s="192"/>
    </row>
    <row r="39" spans="1:13" x14ac:dyDescent="0.25">
      <c r="A39" s="192"/>
      <c r="C39" s="192"/>
      <c r="D39" s="192"/>
      <c r="E39" s="192"/>
      <c r="F39" s="192"/>
      <c r="G39" s="192"/>
      <c r="H39" s="192"/>
      <c r="I39" s="192"/>
      <c r="J39" s="192"/>
      <c r="K39" s="192"/>
      <c r="L39" s="192"/>
    </row>
    <row r="40" spans="1:13" ht="15.75" x14ac:dyDescent="0.25">
      <c r="A40" s="64" t="s">
        <v>15</v>
      </c>
      <c r="B40" s="65"/>
      <c r="C40" s="192"/>
      <c r="D40" s="192"/>
      <c r="E40" s="192"/>
      <c r="F40" s="192"/>
      <c r="G40" s="192"/>
      <c r="H40" s="192"/>
      <c r="I40" s="192"/>
      <c r="J40" s="192"/>
      <c r="K40" s="192"/>
      <c r="L40" s="192"/>
    </row>
    <row r="41" spans="1:13" x14ac:dyDescent="0.25">
      <c r="A41" s="192"/>
      <c r="C41" s="192"/>
      <c r="D41" s="192"/>
      <c r="E41" s="192"/>
      <c r="F41" s="192"/>
      <c r="G41" s="192"/>
      <c r="H41" s="192"/>
      <c r="I41" s="192"/>
      <c r="J41" s="192"/>
      <c r="K41" s="192"/>
      <c r="L41" s="192"/>
    </row>
    <row r="42" spans="1:13" ht="30" x14ac:dyDescent="0.25">
      <c r="A42" s="192"/>
      <c r="B42" s="59" t="s">
        <v>16</v>
      </c>
      <c r="C42" s="192"/>
      <c r="D42" s="192"/>
      <c r="E42" s="192"/>
      <c r="F42" s="192"/>
      <c r="G42" s="192"/>
      <c r="H42" s="192"/>
      <c r="I42" s="192"/>
      <c r="J42" s="192"/>
      <c r="K42" s="192"/>
      <c r="L42" s="192"/>
    </row>
    <row r="44" spans="1:13" ht="30" x14ac:dyDescent="0.25">
      <c r="A44" s="80" t="s">
        <v>17</v>
      </c>
      <c r="B44" s="59" t="s">
        <v>18</v>
      </c>
      <c r="C44" s="192"/>
      <c r="D44" s="59"/>
      <c r="E44" s="59"/>
      <c r="F44" s="59"/>
      <c r="G44" s="59"/>
      <c r="H44" s="59"/>
      <c r="I44" s="59"/>
      <c r="J44" s="59"/>
      <c r="K44" s="59"/>
      <c r="L44" s="59"/>
    </row>
    <row r="45" spans="1:13" x14ac:dyDescent="0.25">
      <c r="A45" s="80" t="s">
        <v>19</v>
      </c>
      <c r="B45" s="59" t="s">
        <v>20</v>
      </c>
      <c r="C45" s="192"/>
      <c r="D45" s="59"/>
      <c r="E45" s="59"/>
      <c r="F45" s="59"/>
      <c r="G45" s="59"/>
      <c r="H45" s="59"/>
      <c r="I45" s="59"/>
      <c r="J45" s="59"/>
      <c r="K45" s="59"/>
      <c r="L45" s="59"/>
    </row>
    <row r="46" spans="1:13" ht="30" x14ac:dyDescent="0.25">
      <c r="A46" s="80" t="s">
        <v>21</v>
      </c>
      <c r="B46" s="59" t="s">
        <v>22</v>
      </c>
      <c r="C46" s="192"/>
      <c r="D46" s="59"/>
      <c r="E46" s="59"/>
      <c r="F46" s="59"/>
      <c r="G46" s="59"/>
      <c r="H46" s="59"/>
      <c r="I46" s="59"/>
      <c r="J46" s="59"/>
      <c r="K46" s="59"/>
      <c r="L46" s="59"/>
    </row>
    <row r="47" spans="1:13" x14ac:dyDescent="0.25">
      <c r="A47" s="80" t="s">
        <v>23</v>
      </c>
      <c r="B47" s="59" t="s">
        <v>24</v>
      </c>
      <c r="C47" s="192"/>
      <c r="D47" s="59"/>
      <c r="E47" s="59"/>
      <c r="F47" s="59"/>
      <c r="G47" s="59"/>
      <c r="H47" s="59"/>
      <c r="I47" s="59"/>
      <c r="J47" s="59"/>
      <c r="K47" s="59"/>
      <c r="L47" s="59"/>
    </row>
    <row r="48" spans="1:13" ht="45" x14ac:dyDescent="0.25">
      <c r="A48" s="80" t="s">
        <v>25</v>
      </c>
      <c r="B48" s="59" t="s">
        <v>26</v>
      </c>
      <c r="C48" s="192"/>
      <c r="D48" s="59"/>
      <c r="E48" s="59"/>
      <c r="F48" s="59"/>
      <c r="G48" s="59"/>
      <c r="H48" s="59"/>
      <c r="I48" s="59"/>
      <c r="J48" s="59"/>
      <c r="K48" s="59"/>
      <c r="L48" s="59"/>
    </row>
    <row r="49" spans="1:12" x14ac:dyDescent="0.25">
      <c r="A49" s="81"/>
      <c r="C49" s="192"/>
      <c r="D49" s="59"/>
      <c r="E49" s="59"/>
      <c r="F49" s="59"/>
      <c r="G49" s="59"/>
      <c r="H49" s="59"/>
      <c r="I49" s="59"/>
      <c r="J49" s="59"/>
      <c r="K49" s="59"/>
      <c r="L49" s="59"/>
    </row>
    <row r="50" spans="1:12" ht="15.75" x14ac:dyDescent="0.25">
      <c r="A50" s="64" t="s">
        <v>27</v>
      </c>
      <c r="B50" s="65"/>
      <c r="C50" s="192"/>
      <c r="D50" s="192"/>
      <c r="E50" s="59"/>
      <c r="F50" s="59"/>
      <c r="G50" s="59"/>
      <c r="H50" s="59"/>
      <c r="I50" s="59"/>
      <c r="J50" s="59"/>
      <c r="K50" s="59"/>
      <c r="L50" s="59"/>
    </row>
    <row r="51" spans="1:12" x14ac:dyDescent="0.25">
      <c r="A51" s="192"/>
      <c r="C51" s="192"/>
      <c r="D51" s="59"/>
      <c r="E51" s="59"/>
      <c r="F51" s="59"/>
      <c r="G51" s="59"/>
      <c r="H51" s="59"/>
      <c r="I51" s="59"/>
      <c r="J51" s="59"/>
      <c r="K51" s="59"/>
      <c r="L51" s="59"/>
    </row>
    <row r="52" spans="1:12" ht="45" x14ac:dyDescent="0.25">
      <c r="A52" s="192"/>
      <c r="B52" s="59" t="s">
        <v>28</v>
      </c>
      <c r="C52" s="192"/>
      <c r="D52" s="59"/>
      <c r="E52" s="59"/>
      <c r="F52" s="59"/>
      <c r="G52" s="59"/>
      <c r="H52" s="59"/>
      <c r="I52" s="59"/>
      <c r="J52" s="59"/>
      <c r="K52" s="59"/>
      <c r="L52" s="59"/>
    </row>
    <row r="53" spans="1:12" x14ac:dyDescent="0.25">
      <c r="A53" s="192"/>
      <c r="C53" s="192"/>
      <c r="D53" s="59"/>
      <c r="E53" s="59"/>
      <c r="F53" s="59"/>
      <c r="G53" s="59"/>
      <c r="H53" s="59"/>
      <c r="I53" s="59"/>
      <c r="J53" s="59"/>
      <c r="K53" s="59"/>
      <c r="L53" s="59"/>
    </row>
    <row r="54" spans="1:12" ht="60" x14ac:dyDescent="0.25">
      <c r="A54" s="192"/>
      <c r="B54" s="59" t="s">
        <v>29</v>
      </c>
      <c r="C54" s="192"/>
      <c r="D54" s="59"/>
      <c r="E54" s="59"/>
      <c r="F54" s="59"/>
      <c r="G54" s="59"/>
      <c r="H54" s="59"/>
      <c r="I54" s="59"/>
      <c r="J54" s="59"/>
      <c r="K54" s="59"/>
      <c r="L54" s="59"/>
    </row>
    <row r="55" spans="1:12" x14ac:dyDescent="0.25">
      <c r="A55" s="192"/>
      <c r="C55" s="192"/>
      <c r="D55" s="59"/>
      <c r="E55" s="59"/>
      <c r="F55" s="59"/>
      <c r="G55" s="59"/>
      <c r="H55" s="59"/>
      <c r="I55" s="59"/>
      <c r="J55" s="59"/>
      <c r="K55" s="59"/>
      <c r="L55" s="59"/>
    </row>
    <row r="56" spans="1:12" ht="15.75" x14ac:dyDescent="0.25">
      <c r="A56" s="64" t="s">
        <v>30</v>
      </c>
      <c r="B56" s="65"/>
      <c r="C56" s="192"/>
      <c r="D56" s="59"/>
      <c r="E56" s="59"/>
      <c r="F56" s="59"/>
      <c r="G56" s="59"/>
      <c r="H56" s="59"/>
      <c r="I56" s="59"/>
      <c r="J56" s="59"/>
      <c r="K56" s="59"/>
      <c r="L56" s="59"/>
    </row>
    <row r="58" spans="1:12" x14ac:dyDescent="0.25">
      <c r="A58" s="192"/>
      <c r="B58" s="59" t="s">
        <v>31</v>
      </c>
      <c r="C58" s="192"/>
      <c r="D58" s="192"/>
      <c r="E58" s="192"/>
      <c r="F58" s="192"/>
      <c r="G58" s="192"/>
      <c r="H58" s="192"/>
      <c r="I58" s="192"/>
      <c r="J58" s="192"/>
      <c r="K58" s="192"/>
      <c r="L58" s="192"/>
    </row>
    <row r="59" spans="1:12" ht="30" x14ac:dyDescent="0.25">
      <c r="A59" s="192"/>
      <c r="B59" s="62" t="s">
        <v>32</v>
      </c>
      <c r="C59" s="192"/>
      <c r="D59" s="192"/>
      <c r="E59" s="192"/>
      <c r="F59" s="192"/>
      <c r="G59" s="192"/>
      <c r="H59" s="192"/>
      <c r="I59" s="192"/>
      <c r="J59" s="192"/>
      <c r="K59" s="192"/>
      <c r="L59" s="192"/>
    </row>
    <row r="60" spans="1:12" ht="47.85" customHeight="1" x14ac:dyDescent="0.25">
      <c r="A60" s="192"/>
      <c r="B60" s="59" t="s">
        <v>33</v>
      </c>
      <c r="C60" s="192"/>
      <c r="D60" s="192"/>
      <c r="E60" s="192"/>
      <c r="F60" s="192"/>
      <c r="G60" s="192"/>
      <c r="H60" s="192"/>
      <c r="I60" s="192"/>
      <c r="J60" s="192"/>
      <c r="K60" s="192"/>
      <c r="L60" s="192"/>
    </row>
    <row r="61" spans="1:12" ht="45" x14ac:dyDescent="0.25">
      <c r="A61" s="192"/>
      <c r="B61" s="59" t="s">
        <v>34</v>
      </c>
      <c r="C61" s="192"/>
      <c r="D61" s="192"/>
      <c r="E61" s="192"/>
      <c r="F61" s="192"/>
      <c r="G61" s="192"/>
      <c r="H61" s="192"/>
      <c r="I61" s="192"/>
      <c r="J61" s="192"/>
      <c r="K61" s="192"/>
      <c r="L61" s="192"/>
    </row>
    <row r="62" spans="1:12" x14ac:dyDescent="0.25">
      <c r="A62" s="192"/>
      <c r="B62" s="59" t="s">
        <v>35</v>
      </c>
      <c r="C62" s="192"/>
      <c r="D62" s="192"/>
      <c r="E62" s="192"/>
      <c r="F62" s="192"/>
      <c r="G62" s="192"/>
      <c r="H62" s="192"/>
      <c r="I62" s="192"/>
      <c r="J62" s="192"/>
      <c r="K62" s="192"/>
      <c r="L62" s="192"/>
    </row>
    <row r="63" spans="1:12" s="192" customFormat="1" ht="60" x14ac:dyDescent="0.25">
      <c r="B63" s="259" t="s">
        <v>36</v>
      </c>
    </row>
    <row r="64" spans="1:12" x14ac:dyDescent="0.25">
      <c r="A64" s="192"/>
      <c r="B64" s="59" t="s">
        <v>37</v>
      </c>
      <c r="C64" s="192"/>
      <c r="D64" s="192"/>
      <c r="E64" s="192"/>
      <c r="F64" s="192"/>
      <c r="G64" s="192"/>
      <c r="H64" s="192"/>
      <c r="I64" s="192"/>
      <c r="J64" s="192"/>
      <c r="K64" s="192"/>
      <c r="L64" s="192"/>
    </row>
    <row r="65" spans="1:12" ht="45" x14ac:dyDescent="0.25">
      <c r="A65" s="192"/>
      <c r="B65" s="59" t="s">
        <v>38</v>
      </c>
      <c r="C65" s="192"/>
      <c r="D65" s="192"/>
      <c r="E65" s="192"/>
      <c r="F65" s="192"/>
      <c r="G65" s="192"/>
      <c r="H65" s="192"/>
      <c r="I65" s="192"/>
      <c r="J65" s="192"/>
      <c r="K65" s="192"/>
      <c r="L65" s="192"/>
    </row>
    <row r="66" spans="1:12" s="192" customFormat="1" ht="60" x14ac:dyDescent="0.25">
      <c r="B66" s="259" t="s">
        <v>39</v>
      </c>
    </row>
    <row r="68" spans="1:12" ht="15.75" x14ac:dyDescent="0.25">
      <c r="A68" s="64" t="s">
        <v>40</v>
      </c>
      <c r="B68" s="65"/>
    </row>
    <row r="70" spans="1:12" ht="92.25" customHeight="1" x14ac:dyDescent="0.25">
      <c r="A70" s="192"/>
      <c r="B70" s="79" t="s">
        <v>41</v>
      </c>
    </row>
    <row r="72" spans="1:12" ht="61.5" customHeight="1" x14ac:dyDescent="0.25">
      <c r="A72" s="192"/>
      <c r="B72" s="59" t="s">
        <v>42</v>
      </c>
    </row>
    <row r="73" spans="1:12" ht="14.25" customHeight="1" x14ac:dyDescent="0.25">
      <c r="A73" s="192"/>
    </row>
    <row r="74" spans="1:12" ht="162" customHeight="1" x14ac:dyDescent="0.25">
      <c r="A74" s="192"/>
      <c r="B74" s="59" t="s">
        <v>43</v>
      </c>
    </row>
    <row r="76" spans="1:12" ht="105" x14ac:dyDescent="0.25">
      <c r="A76" s="192"/>
      <c r="B76" s="59" t="s">
        <v>44</v>
      </c>
    </row>
    <row r="78" spans="1:12" ht="15.75" x14ac:dyDescent="0.25">
      <c r="A78" s="64" t="s">
        <v>45</v>
      </c>
      <c r="B78" s="65"/>
    </row>
    <row r="79" spans="1:12" ht="15.75" x14ac:dyDescent="0.25">
      <c r="A79" s="58"/>
    </row>
    <row r="80" spans="1:12" ht="75" x14ac:dyDescent="0.25">
      <c r="A80" s="58"/>
      <c r="B80" s="59" t="s">
        <v>46</v>
      </c>
    </row>
    <row r="81" spans="1:2" ht="15.75" x14ac:dyDescent="0.25">
      <c r="A81" s="58"/>
    </row>
    <row r="82" spans="1:2" ht="30" x14ac:dyDescent="0.25">
      <c r="A82" s="80" t="s">
        <v>17</v>
      </c>
      <c r="B82" s="59" t="s">
        <v>47</v>
      </c>
    </row>
    <row r="83" spans="1:2" x14ac:dyDescent="0.25">
      <c r="A83" s="80" t="s">
        <v>19</v>
      </c>
      <c r="B83" s="59" t="s">
        <v>20</v>
      </c>
    </row>
    <row r="84" spans="1:2" ht="30" x14ac:dyDescent="0.25">
      <c r="A84" s="80" t="s">
        <v>21</v>
      </c>
      <c r="B84" s="59" t="s">
        <v>48</v>
      </c>
    </row>
    <row r="85" spans="1:2" x14ac:dyDescent="0.25">
      <c r="A85" s="192"/>
      <c r="B85" s="192"/>
    </row>
    <row r="86" spans="1:2" s="58" customFormat="1" ht="15.75" x14ac:dyDescent="0.25">
      <c r="A86" s="55" t="s">
        <v>49</v>
      </c>
      <c r="B86" s="56"/>
    </row>
    <row r="88" spans="1:2" ht="30" x14ac:dyDescent="0.25">
      <c r="A88" s="192"/>
      <c r="B88" s="59" t="s">
        <v>50</v>
      </c>
    </row>
    <row r="90" spans="1:2" x14ac:dyDescent="0.25">
      <c r="A90" s="192"/>
      <c r="B90" s="59" t="s">
        <v>51</v>
      </c>
    </row>
    <row r="92" spans="1:2" x14ac:dyDescent="0.25">
      <c r="A92" s="63"/>
    </row>
    <row r="93" spans="1:2" x14ac:dyDescent="0.25">
      <c r="A93" s="63"/>
    </row>
  </sheetData>
  <pageMargins left="0.70866141732283472" right="0.70866141732283472" top="0.74803149606299213" bottom="0.74803149606299213" header="0.31496062992125984" footer="0.31496062992125984"/>
  <pageSetup paperSize="9" orientation="portrait" r:id="rId1"/>
  <headerFooter>
    <oddFooter>&amp;RPage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pageSetUpPr fitToPage="1"/>
  </sheetPr>
  <dimension ref="A1:C26"/>
  <sheetViews>
    <sheetView showGridLines="0" topLeftCell="A10" zoomScaleNormal="100" workbookViewId="0">
      <selection activeCell="B25" sqref="B25"/>
    </sheetView>
  </sheetViews>
  <sheetFormatPr defaultColWidth="9.140625" defaultRowHeight="12" x14ac:dyDescent="0.2"/>
  <cols>
    <col min="1" max="1" width="1.42578125" style="38" customWidth="1"/>
    <col min="2" max="2" width="85.42578125" style="26" customWidth="1"/>
    <col min="3" max="16384" width="9.140625" style="21"/>
  </cols>
  <sheetData>
    <row r="1" spans="1:3" s="313" customFormat="1" ht="12.75" x14ac:dyDescent="0.2">
      <c r="A1" s="350" t="s">
        <v>1310</v>
      </c>
      <c r="B1" s="351"/>
    </row>
    <row r="2" spans="1:3" s="313" customFormat="1" x14ac:dyDescent="0.2">
      <c r="A2" s="205"/>
      <c r="B2" s="346"/>
    </row>
    <row r="3" spans="1:3" x14ac:dyDescent="0.2">
      <c r="A3" s="205"/>
      <c r="B3" s="27" t="s">
        <v>649</v>
      </c>
    </row>
    <row r="5" spans="1:3" x14ac:dyDescent="0.2">
      <c r="A5" s="40">
        <v>1</v>
      </c>
      <c r="B5" s="27" t="str">
        <f>"Note "&amp;A5&amp;" Accounting policies and other information"</f>
        <v>Note 1 Accounting policies and other information</v>
      </c>
    </row>
    <row r="6" spans="1:3" x14ac:dyDescent="0.2">
      <c r="A6" s="40"/>
      <c r="B6" s="27"/>
    </row>
    <row r="7" spans="1:3" x14ac:dyDescent="0.2">
      <c r="A7" s="205">
        <v>1</v>
      </c>
      <c r="B7" s="27" t="str">
        <f>"Note 1." &amp; A7&amp; " Basis of preparation"</f>
        <v>Note 1.1 Basis of preparation</v>
      </c>
    </row>
    <row r="8" spans="1:3" s="226" customFormat="1" x14ac:dyDescent="0.2">
      <c r="A8" s="205"/>
      <c r="B8" s="96"/>
    </row>
    <row r="9" spans="1:3" ht="132" x14ac:dyDescent="0.2">
      <c r="A9" s="49"/>
      <c r="B9" s="166" t="s">
        <v>1259</v>
      </c>
    </row>
    <row r="10" spans="1:3" x14ac:dyDescent="0.2">
      <c r="A10" s="205"/>
      <c r="B10" s="318"/>
    </row>
    <row r="11" spans="1:3" x14ac:dyDescent="0.2">
      <c r="A11" s="205">
        <f>A7+0.1</f>
        <v>1.1000000000000001</v>
      </c>
      <c r="B11" s="27" t="s">
        <v>650</v>
      </c>
    </row>
    <row r="12" spans="1:3" s="431" customFormat="1" x14ac:dyDescent="0.2">
      <c r="A12" s="205"/>
      <c r="B12" s="27"/>
    </row>
    <row r="13" spans="1:3" ht="36" x14ac:dyDescent="0.2">
      <c r="A13" s="205"/>
      <c r="B13" s="127" t="s">
        <v>651</v>
      </c>
      <c r="C13" s="21" t="s">
        <v>1394</v>
      </c>
    </row>
    <row r="14" spans="1:3" x14ac:dyDescent="0.2">
      <c r="A14" s="205"/>
      <c r="B14" s="318"/>
    </row>
    <row r="15" spans="1:3" x14ac:dyDescent="0.2">
      <c r="A15" s="205">
        <f>ROUNDDOWN(A11,0)+1</f>
        <v>2</v>
      </c>
      <c r="B15" s="28" t="str">
        <f>"Note 1." &amp; A15&amp; " Going concern"</f>
        <v>Note 1.2 Going concern</v>
      </c>
    </row>
    <row r="16" spans="1:3" s="431" customFormat="1" x14ac:dyDescent="0.2">
      <c r="A16" s="205"/>
      <c r="B16" s="28"/>
    </row>
    <row r="17" spans="1:2" ht="48" x14ac:dyDescent="0.2">
      <c r="A17" s="205"/>
      <c r="B17" s="166" t="s">
        <v>1448</v>
      </c>
    </row>
    <row r="18" spans="1:2" x14ac:dyDescent="0.2">
      <c r="A18" s="205"/>
      <c r="B18" s="318"/>
    </row>
    <row r="19" spans="1:2" s="163" customFormat="1" x14ac:dyDescent="0.2">
      <c r="A19" s="205">
        <f>A15+1</f>
        <v>3</v>
      </c>
      <c r="B19" s="27" t="str">
        <f>"Note 1." &amp; A19 &amp;" Interests in other entities"</f>
        <v>Note 1.3 Interests in other entities</v>
      </c>
    </row>
    <row r="20" spans="1:2" s="255" customFormat="1" x14ac:dyDescent="0.2">
      <c r="A20" s="205"/>
      <c r="B20" s="256"/>
    </row>
    <row r="21" spans="1:2" s="163" customFormat="1" ht="144" x14ac:dyDescent="0.2">
      <c r="A21" s="205"/>
      <c r="B21" s="246" t="s">
        <v>1311</v>
      </c>
    </row>
    <row r="22" spans="1:2" s="255" customFormat="1" ht="72.95" customHeight="1" x14ac:dyDescent="0.2">
      <c r="A22" s="205"/>
      <c r="B22" s="246" t="s">
        <v>1444</v>
      </c>
    </row>
    <row r="23" spans="1:2" s="163" customFormat="1" ht="44.45" customHeight="1" x14ac:dyDescent="0.2">
      <c r="A23" s="205"/>
      <c r="B23" s="313" t="s">
        <v>1445</v>
      </c>
    </row>
    <row r="24" spans="1:2" s="163" customFormat="1" ht="20.45" customHeight="1" x14ac:dyDescent="0.2">
      <c r="A24" s="205"/>
      <c r="B24" s="405" t="s">
        <v>1451</v>
      </c>
    </row>
    <row r="25" spans="1:2" s="163" customFormat="1" ht="52.5" customHeight="1" x14ac:dyDescent="0.2">
      <c r="A25" s="205"/>
      <c r="B25" s="257"/>
    </row>
    <row r="26" spans="1:2" s="163" customFormat="1" x14ac:dyDescent="0.2">
      <c r="A26" s="205"/>
      <c r="B26" s="325"/>
    </row>
  </sheetData>
  <customSheetViews>
    <customSheetView guid="{EDC1BD6E-863A-4FC6-A3A9-F32079F4F0C1}" fitToPage="1">
      <selection activeCell="E101" sqref="E101"/>
      <pageMargins left="0" right="0" top="0" bottom="0" header="0" footer="0"/>
      <pageSetup paperSize="9" fitToHeight="0" orientation="portrait" verticalDpi="0" r:id="rId1"/>
      <headerFooter>
        <oddHeader>&amp;LINSERT YOUR NHS Foundation Trust&amp;RStatement of accounts 2014/15</oddHeader>
      </headerFooter>
    </customSheetView>
  </customSheetViews>
  <pageMargins left="0.70866141732283472" right="0.70866141732283472" top="0.74803149606299213" bottom="0.74803149606299213" header="0.31496062992125984" footer="0.31496062992125984"/>
  <pageSetup paperSize="9" scale="90" fitToHeight="0" orientation="portrait" verticalDpi="0" r:id="rId2"/>
  <headerFooter>
    <oddFooter>&amp;RPage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0E810-C48E-4AC7-8A56-D8034E765807}">
  <sheetPr codeName="Sheet28">
    <pageSetUpPr fitToPage="1"/>
  </sheetPr>
  <dimension ref="A1:G50"/>
  <sheetViews>
    <sheetView showGridLines="0" topLeftCell="A7" zoomScaleNormal="100" workbookViewId="0">
      <selection activeCell="E10" sqref="E10"/>
    </sheetView>
  </sheetViews>
  <sheetFormatPr defaultColWidth="9.140625" defaultRowHeight="12" x14ac:dyDescent="0.2"/>
  <cols>
    <col min="1" max="1" width="1.42578125" style="205" customWidth="1"/>
    <col min="2" max="2" width="85.42578125" style="194" customWidth="1"/>
    <col min="3" max="16384" width="9.140625" style="255"/>
  </cols>
  <sheetData>
    <row r="1" spans="1:7" s="313" customFormat="1" ht="12.75" x14ac:dyDescent="0.2">
      <c r="A1" s="350" t="s">
        <v>1310</v>
      </c>
      <c r="B1" s="351"/>
    </row>
    <row r="2" spans="1:7" s="313" customFormat="1" x14ac:dyDescent="0.2">
      <c r="A2" s="205"/>
      <c r="B2" s="346"/>
    </row>
    <row r="3" spans="1:7" ht="15.75" customHeight="1" x14ac:dyDescent="0.2">
      <c r="A3" s="205">
        <f>'Acc''g policies 1'!A19+1</f>
        <v>4</v>
      </c>
      <c r="B3" s="27" t="str">
        <f>"Note 1." &amp; A3 &amp;" Revenue from contracts with customers"</f>
        <v>Note 1.4 Revenue from contracts with customers</v>
      </c>
      <c r="C3" s="313"/>
      <c r="D3" s="313"/>
      <c r="E3" s="313"/>
      <c r="F3" s="313"/>
      <c r="G3" s="313"/>
    </row>
    <row r="4" spans="1:7" ht="42.75" customHeight="1" x14ac:dyDescent="0.2">
      <c r="B4" s="313" t="s">
        <v>652</v>
      </c>
      <c r="C4" s="324"/>
      <c r="D4" s="324"/>
      <c r="E4" s="324"/>
      <c r="F4" s="324"/>
      <c r="G4" s="324"/>
    </row>
    <row r="5" spans="1:7" x14ac:dyDescent="0.2">
      <c r="B5" s="313"/>
      <c r="C5" s="313"/>
      <c r="D5" s="313"/>
      <c r="E5" s="313"/>
      <c r="F5" s="313"/>
      <c r="G5" s="313"/>
    </row>
    <row r="6" spans="1:7" ht="96" x14ac:dyDescent="0.2">
      <c r="B6" s="313" t="s">
        <v>653</v>
      </c>
      <c r="C6" s="313"/>
      <c r="D6" s="313"/>
      <c r="E6" s="313"/>
      <c r="F6" s="313"/>
      <c r="G6" s="313"/>
    </row>
    <row r="7" spans="1:7" x14ac:dyDescent="0.2">
      <c r="B7" s="295"/>
      <c r="C7" s="313"/>
      <c r="D7" s="313"/>
      <c r="E7" s="313"/>
      <c r="F7" s="313"/>
      <c r="G7" s="313"/>
    </row>
    <row r="8" spans="1:7" x14ac:dyDescent="0.2">
      <c r="B8" s="170" t="s">
        <v>654</v>
      </c>
      <c r="C8" s="313"/>
      <c r="D8" s="313"/>
      <c r="E8" s="313"/>
      <c r="F8" s="313"/>
      <c r="G8" s="313"/>
    </row>
    <row r="9" spans="1:7" s="312" customFormat="1" x14ac:dyDescent="0.2">
      <c r="A9" s="205"/>
      <c r="B9" s="170"/>
      <c r="C9" s="313"/>
      <c r="D9" s="313"/>
      <c r="E9" s="313"/>
      <c r="F9" s="313"/>
      <c r="G9" s="313"/>
    </row>
    <row r="10" spans="1:7" ht="192" x14ac:dyDescent="0.2">
      <c r="B10" s="424" t="s">
        <v>1442</v>
      </c>
      <c r="C10" s="313"/>
      <c r="D10" s="313"/>
      <c r="E10" s="313"/>
      <c r="F10" s="313"/>
      <c r="G10" s="313"/>
    </row>
    <row r="11" spans="1:7" x14ac:dyDescent="0.2">
      <c r="B11" s="313"/>
      <c r="C11" s="313"/>
      <c r="D11" s="313"/>
      <c r="E11" s="313"/>
      <c r="F11" s="313"/>
      <c r="G11" s="313"/>
    </row>
    <row r="12" spans="1:7" ht="84" x14ac:dyDescent="0.2">
      <c r="B12" s="246" t="s">
        <v>1312</v>
      </c>
    </row>
    <row r="13" spans="1:7" s="313" customFormat="1" x14ac:dyDescent="0.2">
      <c r="A13" s="205"/>
      <c r="B13" s="315"/>
    </row>
    <row r="14" spans="1:7" x14ac:dyDescent="0.2">
      <c r="B14" s="352" t="s">
        <v>655</v>
      </c>
    </row>
    <row r="15" spans="1:7" ht="104.25" customHeight="1" x14ac:dyDescent="0.2">
      <c r="B15" s="246" t="s">
        <v>1313</v>
      </c>
    </row>
    <row r="16" spans="1:7" s="421" customFormat="1" x14ac:dyDescent="0.2">
      <c r="A16" s="205"/>
      <c r="B16" s="423"/>
    </row>
    <row r="17" spans="1:2" s="421" customFormat="1" x14ac:dyDescent="0.2">
      <c r="A17" s="205"/>
      <c r="B17" s="423"/>
    </row>
    <row r="18" spans="1:2" s="421" customFormat="1" x14ac:dyDescent="0.2">
      <c r="A18" s="205"/>
      <c r="B18" s="423"/>
    </row>
    <row r="19" spans="1:2" s="421" customFormat="1" x14ac:dyDescent="0.2">
      <c r="A19" s="205"/>
      <c r="B19" s="423"/>
    </row>
    <row r="20" spans="1:2" s="421" customFormat="1" x14ac:dyDescent="0.2">
      <c r="A20" s="205"/>
      <c r="B20" s="423"/>
    </row>
    <row r="21" spans="1:2" s="421" customFormat="1" x14ac:dyDescent="0.2">
      <c r="A21" s="205"/>
      <c r="B21" s="423"/>
    </row>
    <row r="22" spans="1:2" s="421" customFormat="1" ht="12.75" x14ac:dyDescent="0.2">
      <c r="A22" s="350" t="s">
        <v>1310</v>
      </c>
      <c r="B22" s="351"/>
    </row>
    <row r="23" spans="1:2" s="312" customFormat="1" x14ac:dyDescent="0.2">
      <c r="A23" s="205"/>
      <c r="B23" s="253"/>
    </row>
    <row r="24" spans="1:2" x14ac:dyDescent="0.2">
      <c r="B24" s="170" t="s">
        <v>1314</v>
      </c>
    </row>
    <row r="25" spans="1:2" ht="84" x14ac:dyDescent="0.2">
      <c r="B25" s="313" t="s">
        <v>1315</v>
      </c>
    </row>
    <row r="26" spans="1:2" s="312" customFormat="1" x14ac:dyDescent="0.2">
      <c r="A26" s="205"/>
      <c r="B26" s="253"/>
    </row>
    <row r="27" spans="1:2" x14ac:dyDescent="0.2">
      <c r="B27" s="315"/>
    </row>
    <row r="28" spans="1:2" x14ac:dyDescent="0.2">
      <c r="B28" s="315"/>
    </row>
    <row r="29" spans="1:2" x14ac:dyDescent="0.2">
      <c r="A29" s="49">
        <f>A3+1</f>
        <v>5</v>
      </c>
      <c r="B29" s="258" t="str">
        <f>"Note 1." &amp; A29 &amp;" Other forms of income"</f>
        <v>Note 1.5 Other forms of income</v>
      </c>
    </row>
    <row r="30" spans="1:2" s="294" customFormat="1" x14ac:dyDescent="0.2">
      <c r="A30" s="49"/>
      <c r="B30" s="258"/>
    </row>
    <row r="31" spans="1:2" s="294" customFormat="1" x14ac:dyDescent="0.2">
      <c r="A31" s="49"/>
      <c r="B31" s="258" t="s">
        <v>656</v>
      </c>
    </row>
    <row r="32" spans="1:2" ht="60" x14ac:dyDescent="0.2">
      <c r="B32" s="321" t="s">
        <v>657</v>
      </c>
    </row>
    <row r="33" spans="1:2" s="294" customFormat="1" x14ac:dyDescent="0.2">
      <c r="A33" s="205"/>
      <c r="B33" s="321"/>
    </row>
    <row r="34" spans="1:2" s="294" customFormat="1" x14ac:dyDescent="0.2">
      <c r="A34" s="205"/>
      <c r="B34" s="27" t="s">
        <v>658</v>
      </c>
    </row>
    <row r="35" spans="1:2" s="294" customFormat="1" ht="60" x14ac:dyDescent="0.2">
      <c r="A35" s="205"/>
      <c r="B35" s="321" t="s">
        <v>659</v>
      </c>
    </row>
    <row r="38" spans="1:2" x14ac:dyDescent="0.2">
      <c r="A38" s="205">
        <f>ROUNDDOWN(A29,0)+1</f>
        <v>6</v>
      </c>
      <c r="B38" s="27" t="str">
        <f>"Note 1." &amp;A38&amp; " Expenditure on employee benefits"</f>
        <v>Note 1.6 Expenditure on employee benefits</v>
      </c>
    </row>
    <row r="39" spans="1:2" x14ac:dyDescent="0.2">
      <c r="B39" s="27"/>
    </row>
    <row r="40" spans="1:2" ht="76.7" customHeight="1" x14ac:dyDescent="0.2">
      <c r="B40" s="232" t="s">
        <v>660</v>
      </c>
    </row>
    <row r="41" spans="1:2" s="296" customFormat="1" x14ac:dyDescent="0.2">
      <c r="A41" s="205"/>
      <c r="B41" s="298" t="s">
        <v>661</v>
      </c>
    </row>
    <row r="42" spans="1:2" s="296" customFormat="1" ht="132" x14ac:dyDescent="0.2">
      <c r="A42" s="205"/>
      <c r="B42" s="232" t="s">
        <v>662</v>
      </c>
    </row>
    <row r="43" spans="1:2" s="296" customFormat="1" ht="60" x14ac:dyDescent="0.2">
      <c r="A43" s="205"/>
      <c r="B43" s="232" t="s">
        <v>663</v>
      </c>
    </row>
    <row r="45" spans="1:2" x14ac:dyDescent="0.2">
      <c r="A45" s="205">
        <f>A38+1</f>
        <v>7</v>
      </c>
      <c r="B45" s="27" t="str">
        <f>"Note 1." &amp; A45 &amp;" Expenditure on other goods and services"</f>
        <v>Note 1.7 Expenditure on other goods and services</v>
      </c>
    </row>
    <row r="46" spans="1:2" x14ac:dyDescent="0.2">
      <c r="B46" s="27"/>
    </row>
    <row r="47" spans="1:2" ht="48" x14ac:dyDescent="0.2">
      <c r="B47" s="29" t="s">
        <v>664</v>
      </c>
    </row>
    <row r="49" spans="2:2" x14ac:dyDescent="0.2">
      <c r="B49" s="27"/>
    </row>
    <row r="50" spans="2:2" x14ac:dyDescent="0.2">
      <c r="B50" s="321"/>
    </row>
  </sheetData>
  <pageMargins left="0.70866141732283472" right="0.70866141732283472" top="0.74803149606299213" bottom="0.74803149606299213" header="0.31496062992125984" footer="0.31496062992125984"/>
  <pageSetup paperSize="9" fitToHeight="0" orientation="portrait" verticalDpi="0" r:id="rId1"/>
  <headerFooter>
    <oddFooter>&amp;RPage &amp;P of &amp;N</oddFooter>
  </headerFooter>
  <rowBreaks count="1" manualBreakCount="1">
    <brk id="21" max="16383" man="1"/>
  </rowBreaks>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pageSetUpPr fitToPage="1"/>
  </sheetPr>
  <dimension ref="A1:B43"/>
  <sheetViews>
    <sheetView showGridLines="0" topLeftCell="A19" zoomScaleNormal="100" workbookViewId="0">
      <selection activeCell="B19" sqref="B19"/>
    </sheetView>
  </sheetViews>
  <sheetFormatPr defaultColWidth="9.140625" defaultRowHeight="12" x14ac:dyDescent="0.2"/>
  <cols>
    <col min="1" max="1" width="1.42578125" style="38" customWidth="1"/>
    <col min="2" max="2" width="85.42578125" style="26" customWidth="1"/>
    <col min="3" max="16384" width="9.140625" style="133"/>
  </cols>
  <sheetData>
    <row r="1" spans="1:2" s="313" customFormat="1" ht="12.75" x14ac:dyDescent="0.2">
      <c r="A1" s="350" t="s">
        <v>1310</v>
      </c>
      <c r="B1" s="351"/>
    </row>
    <row r="2" spans="1:2" s="313" customFormat="1" x14ac:dyDescent="0.2">
      <c r="A2" s="205"/>
      <c r="B2" s="346"/>
    </row>
    <row r="3" spans="1:2" x14ac:dyDescent="0.2">
      <c r="A3" s="205">
        <f>'Acc''g policies 2'!A45+1</f>
        <v>8</v>
      </c>
      <c r="B3" s="27" t="str">
        <f>"Note 1."&amp;A3 &amp; " Property, plant and equipment"</f>
        <v>Note 1.8 Property, plant and equipment</v>
      </c>
    </row>
    <row r="5" spans="1:2" s="226" customFormat="1" x14ac:dyDescent="0.2">
      <c r="A5" s="205"/>
      <c r="B5" s="27" t="s">
        <v>665</v>
      </c>
    </row>
    <row r="6" spans="1:2" ht="180" x14ac:dyDescent="0.2">
      <c r="A6" s="205"/>
      <c r="B6" s="318" t="s">
        <v>1316</v>
      </c>
    </row>
    <row r="7" spans="1:2" s="296" customFormat="1" ht="16.5" customHeight="1" x14ac:dyDescent="0.2">
      <c r="A7" s="205"/>
      <c r="B7" s="299" t="s">
        <v>666</v>
      </c>
    </row>
    <row r="8" spans="1:2" ht="96" x14ac:dyDescent="0.2">
      <c r="A8" s="205"/>
      <c r="B8" s="318" t="s">
        <v>667</v>
      </c>
    </row>
    <row r="9" spans="1:2" s="226" customFormat="1" x14ac:dyDescent="0.2">
      <c r="A9" s="205"/>
      <c r="B9" s="318"/>
    </row>
    <row r="10" spans="1:2" s="226" customFormat="1" x14ac:dyDescent="0.2">
      <c r="A10" s="205"/>
      <c r="B10" s="27" t="s">
        <v>668</v>
      </c>
    </row>
    <row r="11" spans="1:2" s="296" customFormat="1" ht="17.100000000000001" customHeight="1" x14ac:dyDescent="0.2">
      <c r="A11" s="205"/>
      <c r="B11" s="300" t="s">
        <v>669</v>
      </c>
    </row>
    <row r="12" spans="1:2" ht="48" x14ac:dyDescent="0.2">
      <c r="A12" s="205"/>
      <c r="B12" s="318" t="s">
        <v>670</v>
      </c>
    </row>
    <row r="13" spans="1:2" s="255" customFormat="1" ht="72" x14ac:dyDescent="0.2">
      <c r="A13" s="205"/>
      <c r="B13" s="318" t="s">
        <v>671</v>
      </c>
    </row>
    <row r="14" spans="1:2" s="255" customFormat="1" ht="36" x14ac:dyDescent="0.2">
      <c r="A14" s="205"/>
      <c r="B14" s="318" t="s">
        <v>672</v>
      </c>
    </row>
    <row r="15" spans="1:2" s="431" customFormat="1" x14ac:dyDescent="0.2">
      <c r="A15" s="205"/>
      <c r="B15" s="429"/>
    </row>
    <row r="16" spans="1:2" s="255" customFormat="1" ht="15" customHeight="1" x14ac:dyDescent="0.2">
      <c r="A16" s="205"/>
      <c r="B16" s="318" t="s">
        <v>673</v>
      </c>
    </row>
    <row r="17" spans="1:2" s="255" customFormat="1" x14ac:dyDescent="0.2">
      <c r="A17" s="205"/>
      <c r="B17" s="318" t="s">
        <v>674</v>
      </c>
    </row>
    <row r="18" spans="1:2" s="431" customFormat="1" x14ac:dyDescent="0.2">
      <c r="A18" s="205"/>
      <c r="B18" s="429"/>
    </row>
    <row r="19" spans="1:2" s="255" customFormat="1" ht="84" x14ac:dyDescent="0.2">
      <c r="A19" s="205"/>
      <c r="B19" s="345" t="s">
        <v>1452</v>
      </c>
    </row>
    <row r="20" spans="1:2" s="294" customFormat="1" ht="24" x14ac:dyDescent="0.2">
      <c r="A20" s="205"/>
      <c r="B20" s="345" t="s">
        <v>1317</v>
      </c>
    </row>
    <row r="21" spans="1:2" s="421" customFormat="1" ht="12.75" x14ac:dyDescent="0.2">
      <c r="A21" s="350" t="s">
        <v>1310</v>
      </c>
      <c r="B21" s="351"/>
    </row>
    <row r="22" spans="1:2" s="431" customFormat="1" ht="12.75" x14ac:dyDescent="0.2">
      <c r="A22" s="428"/>
      <c r="B22" s="2"/>
    </row>
    <row r="23" spans="1:2" s="255" customFormat="1" ht="48" x14ac:dyDescent="0.2">
      <c r="A23" s="205"/>
      <c r="B23" s="246" t="s">
        <v>1318</v>
      </c>
    </row>
    <row r="24" spans="1:2" s="255" customFormat="1" ht="42" customHeight="1" x14ac:dyDescent="0.2">
      <c r="A24" s="205"/>
      <c r="B24" s="318" t="s">
        <v>675</v>
      </c>
    </row>
    <row r="25" spans="1:2" s="296" customFormat="1" x14ac:dyDescent="0.2">
      <c r="A25" s="205"/>
      <c r="B25" s="301"/>
    </row>
    <row r="26" spans="1:2" ht="108" x14ac:dyDescent="0.2">
      <c r="A26" s="205"/>
      <c r="B26" s="318" t="s">
        <v>1436</v>
      </c>
    </row>
    <row r="27" spans="1:2" s="296" customFormat="1" x14ac:dyDescent="0.2">
      <c r="A27" s="205"/>
      <c r="B27" s="299"/>
    </row>
    <row r="28" spans="1:2" ht="120" x14ac:dyDescent="0.2">
      <c r="A28" s="205"/>
      <c r="B28" s="318" t="s">
        <v>1435</v>
      </c>
    </row>
    <row r="29" spans="1:2" ht="192" x14ac:dyDescent="0.2">
      <c r="A29" s="205"/>
      <c r="B29" s="318" t="s">
        <v>1434</v>
      </c>
    </row>
    <row r="30" spans="1:2" s="226" customFormat="1" x14ac:dyDescent="0.2">
      <c r="A30" s="205"/>
      <c r="B30" s="318"/>
    </row>
    <row r="31" spans="1:2" s="226" customFormat="1" ht="13.7" customHeight="1" x14ac:dyDescent="0.2">
      <c r="A31" s="205"/>
      <c r="B31" s="27" t="s">
        <v>676</v>
      </c>
    </row>
    <row r="32" spans="1:2" ht="36.75" customHeight="1" x14ac:dyDescent="0.2">
      <c r="A32" s="205"/>
      <c r="B32" s="318" t="s">
        <v>677</v>
      </c>
    </row>
    <row r="33" spans="1:2" s="255" customFormat="1" ht="99.75" customHeight="1" x14ac:dyDescent="0.2">
      <c r="A33" s="205"/>
      <c r="B33" s="318" t="s">
        <v>678</v>
      </c>
    </row>
    <row r="34" spans="1:2" s="421" customFormat="1" x14ac:dyDescent="0.2">
      <c r="A34" s="205"/>
      <c r="B34" s="417"/>
    </row>
    <row r="35" spans="1:2" s="421" customFormat="1" x14ac:dyDescent="0.2">
      <c r="A35" s="205"/>
      <c r="B35" s="417"/>
    </row>
    <row r="36" spans="1:2" s="421" customFormat="1" x14ac:dyDescent="0.2">
      <c r="A36" s="205"/>
      <c r="B36" s="417"/>
    </row>
    <row r="37" spans="1:2" s="421" customFormat="1" hidden="1" x14ac:dyDescent="0.2">
      <c r="A37" s="205"/>
      <c r="B37" s="417"/>
    </row>
    <row r="38" spans="1:2" s="421" customFormat="1" ht="12.75" hidden="1" x14ac:dyDescent="0.2">
      <c r="A38" s="350" t="s">
        <v>1310</v>
      </c>
      <c r="B38" s="351"/>
    </row>
    <row r="39" spans="1:2" s="421" customFormat="1" ht="12.75" hidden="1" x14ac:dyDescent="0.2">
      <c r="A39" s="428"/>
      <c r="B39" s="2"/>
    </row>
    <row r="40" spans="1:2" s="226" customFormat="1" hidden="1" x14ac:dyDescent="0.2">
      <c r="A40" s="205"/>
      <c r="B40" s="97" t="s">
        <v>679</v>
      </c>
    </row>
    <row r="41" spans="1:2" ht="79.5" hidden="1" customHeight="1" x14ac:dyDescent="0.2">
      <c r="A41" s="205"/>
      <c r="B41" s="318" t="s">
        <v>680</v>
      </c>
    </row>
    <row r="42" spans="1:2" ht="29.85" hidden="1" customHeight="1" x14ac:dyDescent="0.2">
      <c r="B42" s="321" t="s">
        <v>681</v>
      </c>
    </row>
    <row r="43" spans="1:2" ht="44.1" customHeight="1" x14ac:dyDescent="0.2">
      <c r="B43" s="421"/>
    </row>
  </sheetData>
  <pageMargins left="0.70866141732283472" right="0.70866141732283472" top="0.74803149606299213" bottom="0.74803149606299213" header="0.31496062992125984" footer="0.31496062992125984"/>
  <pageSetup paperSize="9" fitToHeight="0" orientation="portrait" verticalDpi="0" r:id="rId1"/>
  <headerFooter>
    <oddFooter>&amp;RPage &amp;P of &amp;N</oddFooter>
  </headerFooter>
  <rowBreaks count="1" manualBreakCount="1">
    <brk id="20" max="16383" man="1"/>
  </rowBreaks>
  <colBreaks count="1" manualBreakCount="1">
    <brk id="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7">
    <pageSetUpPr fitToPage="1"/>
  </sheetPr>
  <dimension ref="A1:D58"/>
  <sheetViews>
    <sheetView showGridLines="0" zoomScaleNormal="100" workbookViewId="0">
      <selection activeCell="B37" sqref="B37:D37"/>
    </sheetView>
  </sheetViews>
  <sheetFormatPr defaultColWidth="9.140625" defaultRowHeight="14.1" customHeight="1" x14ac:dyDescent="0.2"/>
  <cols>
    <col min="1" max="1" width="1.42578125" style="38" customWidth="1"/>
    <col min="2" max="2" width="60.7109375" style="26" customWidth="1"/>
    <col min="3" max="3" width="12.140625" style="26" customWidth="1"/>
    <col min="4" max="4" width="12.85546875" style="26" customWidth="1"/>
    <col min="5" max="16384" width="9.140625" style="133"/>
  </cols>
  <sheetData>
    <row r="1" spans="1:4" s="313" customFormat="1" ht="14.1" customHeight="1" x14ac:dyDescent="0.2">
      <c r="A1" s="350" t="s">
        <v>1310</v>
      </c>
      <c r="B1" s="351"/>
      <c r="C1" s="351"/>
      <c r="D1" s="351"/>
    </row>
    <row r="2" spans="1:4" s="313" customFormat="1" ht="14.1" customHeight="1" x14ac:dyDescent="0.2">
      <c r="A2" s="205"/>
      <c r="B2" s="346"/>
      <c r="C2" s="346"/>
      <c r="D2" s="346"/>
    </row>
    <row r="3" spans="1:4" s="421" customFormat="1" ht="14.1" customHeight="1" x14ac:dyDescent="0.2">
      <c r="A3" s="205"/>
      <c r="B3" s="97" t="s">
        <v>679</v>
      </c>
      <c r="C3" s="420"/>
      <c r="D3" s="420"/>
    </row>
    <row r="4" spans="1:4" s="421" customFormat="1" ht="56.25" customHeight="1" x14ac:dyDescent="0.2">
      <c r="A4" s="205"/>
      <c r="B4" s="445" t="s">
        <v>680</v>
      </c>
      <c r="C4" s="445"/>
      <c r="D4" s="445"/>
    </row>
    <row r="5" spans="1:4" s="421" customFormat="1" ht="36.75" customHeight="1" x14ac:dyDescent="0.2">
      <c r="A5" s="205"/>
      <c r="B5" s="445" t="s">
        <v>681</v>
      </c>
      <c r="C5" s="445"/>
      <c r="D5" s="445"/>
    </row>
    <row r="6" spans="1:4" s="421" customFormat="1" ht="12" x14ac:dyDescent="0.2">
      <c r="A6" s="205"/>
      <c r="B6" s="417"/>
      <c r="C6" s="417"/>
      <c r="D6" s="417"/>
    </row>
    <row r="7" spans="1:4" s="226" customFormat="1" ht="12" x14ac:dyDescent="0.2">
      <c r="A7" s="205"/>
      <c r="B7" s="97" t="s">
        <v>682</v>
      </c>
      <c r="C7" s="318"/>
      <c r="D7" s="318"/>
    </row>
    <row r="8" spans="1:4" ht="31.7" customHeight="1" x14ac:dyDescent="0.2">
      <c r="A8" s="205"/>
      <c r="B8" s="445" t="s">
        <v>683</v>
      </c>
      <c r="C8" s="445"/>
      <c r="D8" s="445"/>
    </row>
    <row r="9" spans="1:4" ht="14.1" customHeight="1" x14ac:dyDescent="0.2">
      <c r="A9" s="205"/>
      <c r="B9" s="321"/>
      <c r="C9" s="290" t="s">
        <v>684</v>
      </c>
      <c r="D9" s="290" t="s">
        <v>685</v>
      </c>
    </row>
    <row r="10" spans="1:4" ht="14.1" customHeight="1" x14ac:dyDescent="0.2">
      <c r="A10" s="205"/>
      <c r="B10" s="321"/>
      <c r="C10" s="290" t="s">
        <v>686</v>
      </c>
      <c r="D10" s="290" t="s">
        <v>686</v>
      </c>
    </row>
    <row r="11" spans="1:4" ht="14.1" customHeight="1" x14ac:dyDescent="0.2">
      <c r="A11" s="205"/>
      <c r="B11" s="313" t="s">
        <v>687</v>
      </c>
      <c r="C11" s="94">
        <v>0</v>
      </c>
      <c r="D11" s="94">
        <v>0</v>
      </c>
    </row>
    <row r="12" spans="1:4" ht="14.1" customHeight="1" x14ac:dyDescent="0.2">
      <c r="A12" s="205"/>
      <c r="B12" s="313" t="s">
        <v>688</v>
      </c>
      <c r="C12" s="94">
        <v>5</v>
      </c>
      <c r="D12" s="94">
        <v>77</v>
      </c>
    </row>
    <row r="13" spans="1:4" ht="14.1" hidden="1" customHeight="1" x14ac:dyDescent="0.2">
      <c r="A13" s="205"/>
      <c r="B13" s="313" t="s">
        <v>689</v>
      </c>
      <c r="C13" s="94">
        <v>0</v>
      </c>
      <c r="D13" s="94">
        <v>0</v>
      </c>
    </row>
    <row r="14" spans="1:4" ht="14.1" customHeight="1" x14ac:dyDescent="0.2">
      <c r="A14" s="205"/>
      <c r="B14" s="313" t="s">
        <v>690</v>
      </c>
      <c r="C14" s="94">
        <v>3</v>
      </c>
      <c r="D14" s="94">
        <v>25</v>
      </c>
    </row>
    <row r="15" spans="1:4" ht="14.1" customHeight="1" x14ac:dyDescent="0.2">
      <c r="A15" s="205"/>
      <c r="B15" s="313" t="s">
        <v>691</v>
      </c>
      <c r="C15" s="94">
        <v>7</v>
      </c>
      <c r="D15" s="94">
        <v>7</v>
      </c>
    </row>
    <row r="16" spans="1:4" ht="14.1" customHeight="1" x14ac:dyDescent="0.2">
      <c r="A16" s="205"/>
      <c r="B16" s="313" t="s">
        <v>692</v>
      </c>
      <c r="C16" s="94">
        <v>4</v>
      </c>
      <c r="D16" s="94">
        <v>11</v>
      </c>
    </row>
    <row r="17" spans="1:4" ht="14.1" customHeight="1" x14ac:dyDescent="0.2">
      <c r="A17" s="205"/>
      <c r="B17" s="313" t="s">
        <v>693</v>
      </c>
      <c r="C17" s="94">
        <v>5</v>
      </c>
      <c r="D17" s="94">
        <v>10</v>
      </c>
    </row>
    <row r="18" spans="1:4" ht="14.1" customHeight="1" x14ac:dyDescent="0.2">
      <c r="A18" s="205"/>
      <c r="B18" s="95"/>
      <c r="C18" s="94"/>
      <c r="D18" s="94"/>
    </row>
    <row r="19" spans="1:4" ht="39.200000000000003" customHeight="1" x14ac:dyDescent="0.2">
      <c r="A19" s="205"/>
      <c r="B19" s="446" t="s">
        <v>694</v>
      </c>
      <c r="C19" s="446"/>
      <c r="D19" s="446"/>
    </row>
    <row r="20" spans="1:4" ht="14.1" customHeight="1" x14ac:dyDescent="0.2">
      <c r="A20" s="205"/>
      <c r="B20" s="95"/>
      <c r="C20" s="321"/>
      <c r="D20" s="321"/>
    </row>
    <row r="21" spans="1:4" ht="14.1" customHeight="1" x14ac:dyDescent="0.2">
      <c r="A21" s="205">
        <f>'Acc''g policies 3'!A3+1</f>
        <v>9</v>
      </c>
      <c r="B21" s="27" t="str">
        <f>"Note 1."&amp;A21&amp; " Intangible assets "</f>
        <v xml:space="preserve">Note 1.9 Intangible assets </v>
      </c>
      <c r="C21" s="321"/>
      <c r="D21" s="321"/>
    </row>
    <row r="22" spans="1:4" s="226" customFormat="1" ht="17.850000000000001" customHeight="1" x14ac:dyDescent="0.2">
      <c r="A22" s="205"/>
      <c r="B22" s="27" t="s">
        <v>665</v>
      </c>
      <c r="C22" s="321"/>
      <c r="D22" s="321"/>
    </row>
    <row r="23" spans="1:4" ht="50.25" customHeight="1" x14ac:dyDescent="0.2">
      <c r="A23" s="205"/>
      <c r="B23" s="445" t="s">
        <v>695</v>
      </c>
      <c r="C23" s="445"/>
      <c r="D23" s="445"/>
    </row>
    <row r="24" spans="1:4" ht="87.6" customHeight="1" x14ac:dyDescent="0.2">
      <c r="A24" s="205"/>
      <c r="B24" s="445" t="s">
        <v>696</v>
      </c>
      <c r="C24" s="445"/>
      <c r="D24" s="445"/>
    </row>
    <row r="25" spans="1:4" ht="62.45" customHeight="1" x14ac:dyDescent="0.2">
      <c r="A25" s="205"/>
      <c r="B25" s="445" t="s">
        <v>697</v>
      </c>
      <c r="C25" s="445"/>
      <c r="D25" s="445"/>
    </row>
    <row r="26" spans="1:4" s="226" customFormat="1" ht="9.75" customHeight="1" x14ac:dyDescent="0.2">
      <c r="A26" s="205"/>
      <c r="B26" s="318"/>
      <c r="C26" s="318"/>
      <c r="D26" s="318"/>
    </row>
    <row r="27" spans="1:4" s="226" customFormat="1" ht="14.1" customHeight="1" x14ac:dyDescent="0.2">
      <c r="A27" s="205"/>
      <c r="B27" s="27" t="s">
        <v>668</v>
      </c>
      <c r="C27" s="321"/>
      <c r="D27" s="321"/>
    </row>
    <row r="28" spans="1:4" s="296" customFormat="1" ht="37.5" customHeight="1" x14ac:dyDescent="0.2">
      <c r="A28" s="205"/>
      <c r="B28" s="447" t="s">
        <v>698</v>
      </c>
      <c r="C28" s="447"/>
      <c r="D28" s="447"/>
    </row>
    <row r="29" spans="1:4" s="421" customFormat="1" ht="12" x14ac:dyDescent="0.2">
      <c r="A29" s="205"/>
      <c r="B29" s="418"/>
      <c r="C29" s="418"/>
      <c r="D29" s="418"/>
    </row>
    <row r="30" spans="1:4" s="421" customFormat="1" ht="12" x14ac:dyDescent="0.2">
      <c r="A30" s="205"/>
      <c r="B30" s="418"/>
      <c r="C30" s="418"/>
      <c r="D30" s="418"/>
    </row>
    <row r="31" spans="1:4" s="421" customFormat="1" ht="23.25" customHeight="1" x14ac:dyDescent="0.2">
      <c r="A31" s="205"/>
      <c r="B31" s="418"/>
      <c r="C31" s="418"/>
      <c r="D31" s="418"/>
    </row>
    <row r="32" spans="1:4" s="421" customFormat="1" ht="12" x14ac:dyDescent="0.2">
      <c r="A32" s="205"/>
      <c r="B32" s="418"/>
      <c r="C32" s="418"/>
      <c r="D32" s="418"/>
    </row>
    <row r="33" spans="1:4" s="421" customFormat="1" ht="12" x14ac:dyDescent="0.2">
      <c r="A33" s="205"/>
      <c r="B33" s="418"/>
      <c r="C33" s="418"/>
      <c r="D33" s="418"/>
    </row>
    <row r="34" spans="1:4" s="421" customFormat="1" ht="12" x14ac:dyDescent="0.2">
      <c r="A34" s="205"/>
      <c r="B34" s="418"/>
      <c r="C34" s="418"/>
      <c r="D34" s="418"/>
    </row>
    <row r="35" spans="1:4" s="421" customFormat="1" ht="14.1" customHeight="1" x14ac:dyDescent="0.2">
      <c r="A35" s="350" t="s">
        <v>1310</v>
      </c>
      <c r="B35" s="351"/>
      <c r="C35" s="351"/>
      <c r="D35" s="351"/>
    </row>
    <row r="36" spans="1:4" s="421" customFormat="1" ht="14.1" customHeight="1" x14ac:dyDescent="0.2">
      <c r="A36" s="428"/>
      <c r="B36" s="2"/>
      <c r="C36" s="2"/>
      <c r="D36" s="2"/>
    </row>
    <row r="37" spans="1:4" ht="66.599999999999994" customHeight="1" x14ac:dyDescent="0.2">
      <c r="A37" s="205"/>
      <c r="B37" s="445" t="s">
        <v>699</v>
      </c>
      <c r="C37" s="445"/>
      <c r="D37" s="445"/>
    </row>
    <row r="38" spans="1:4" ht="52.5" customHeight="1" x14ac:dyDescent="0.2">
      <c r="A38" s="205"/>
      <c r="B38" s="445" t="s">
        <v>700</v>
      </c>
      <c r="C38" s="445"/>
      <c r="D38" s="445"/>
    </row>
    <row r="39" spans="1:4" ht="8.85" customHeight="1" x14ac:dyDescent="0.2">
      <c r="A39" s="205"/>
      <c r="B39" s="318"/>
      <c r="C39" s="318"/>
      <c r="D39" s="318"/>
    </row>
    <row r="40" spans="1:4" s="226" customFormat="1" ht="14.1" customHeight="1" x14ac:dyDescent="0.2">
      <c r="A40" s="205"/>
      <c r="B40" s="27" t="s">
        <v>701</v>
      </c>
      <c r="C40" s="321"/>
      <c r="D40" s="321"/>
    </row>
    <row r="41" spans="1:4" ht="32.1" customHeight="1" x14ac:dyDescent="0.2">
      <c r="A41" s="205"/>
      <c r="B41" s="445" t="s">
        <v>702</v>
      </c>
      <c r="C41" s="445"/>
      <c r="D41" s="445"/>
    </row>
    <row r="42" spans="1:4" ht="14.1" customHeight="1" x14ac:dyDescent="0.2">
      <c r="A42" s="205"/>
      <c r="B42" s="318"/>
      <c r="C42" s="290" t="s">
        <v>684</v>
      </c>
      <c r="D42" s="290" t="s">
        <v>685</v>
      </c>
    </row>
    <row r="43" spans="1:4" ht="14.1" customHeight="1" x14ac:dyDescent="0.2">
      <c r="A43" s="205"/>
      <c r="B43" s="318"/>
      <c r="C43" s="290" t="s">
        <v>686</v>
      </c>
      <c r="D43" s="290" t="s">
        <v>686</v>
      </c>
    </row>
    <row r="44" spans="1:4" ht="14.1" customHeight="1" x14ac:dyDescent="0.2">
      <c r="A44" s="205"/>
      <c r="B44" s="316"/>
      <c r="C44" s="94"/>
      <c r="D44" s="94"/>
    </row>
    <row r="45" spans="1:4" ht="14.1" customHeight="1" x14ac:dyDescent="0.2">
      <c r="A45" s="205"/>
      <c r="B45" s="313" t="s">
        <v>692</v>
      </c>
      <c r="C45" s="94">
        <v>5</v>
      </c>
      <c r="D45" s="94">
        <v>8</v>
      </c>
    </row>
    <row r="46" spans="1:4" ht="14.1" hidden="1" customHeight="1" x14ac:dyDescent="0.2">
      <c r="A46" s="205"/>
      <c r="B46" s="313" t="s">
        <v>703</v>
      </c>
      <c r="C46" s="94">
        <v>0</v>
      </c>
      <c r="D46" s="94">
        <v>0</v>
      </c>
    </row>
    <row r="47" spans="1:4" s="145" customFormat="1" ht="14.1" customHeight="1" x14ac:dyDescent="0.2">
      <c r="A47" s="205"/>
      <c r="B47" s="313" t="s">
        <v>704</v>
      </c>
      <c r="C47" s="94">
        <v>5</v>
      </c>
      <c r="D47" s="94">
        <v>8</v>
      </c>
    </row>
    <row r="48" spans="1:4" ht="14.1" customHeight="1" x14ac:dyDescent="0.2">
      <c r="A48" s="205"/>
      <c r="B48" s="313" t="s">
        <v>705</v>
      </c>
      <c r="C48" s="94">
        <v>5</v>
      </c>
      <c r="D48" s="94">
        <v>8</v>
      </c>
    </row>
    <row r="49" spans="1:4" ht="14.1" customHeight="1" x14ac:dyDescent="0.2">
      <c r="A49" s="205"/>
      <c r="B49" s="313" t="s">
        <v>706</v>
      </c>
      <c r="C49" s="94">
        <v>5</v>
      </c>
      <c r="D49" s="94">
        <v>8</v>
      </c>
    </row>
    <row r="50" spans="1:4" ht="14.1" hidden="1" customHeight="1" x14ac:dyDescent="0.2">
      <c r="A50" s="205"/>
      <c r="B50" s="313" t="s">
        <v>707</v>
      </c>
      <c r="C50" s="94">
        <v>0</v>
      </c>
      <c r="D50" s="94">
        <v>0</v>
      </c>
    </row>
    <row r="51" spans="1:4" ht="14.1" hidden="1" customHeight="1" x14ac:dyDescent="0.2">
      <c r="A51" s="205"/>
      <c r="B51" s="313" t="s">
        <v>708</v>
      </c>
      <c r="C51" s="94">
        <v>0</v>
      </c>
      <c r="D51" s="94">
        <v>0</v>
      </c>
    </row>
    <row r="52" spans="1:4" ht="14.1" hidden="1" customHeight="1" x14ac:dyDescent="0.2">
      <c r="A52" s="205"/>
      <c r="B52" s="313" t="s">
        <v>709</v>
      </c>
      <c r="C52" s="94">
        <v>0</v>
      </c>
      <c r="D52" s="94">
        <v>0</v>
      </c>
    </row>
    <row r="53" spans="1:4" ht="14.1" customHeight="1" x14ac:dyDescent="0.2">
      <c r="A53" s="205"/>
      <c r="B53" s="95"/>
      <c r="C53" s="321"/>
      <c r="D53" s="321"/>
    </row>
    <row r="54" spans="1:4" ht="14.1" customHeight="1" x14ac:dyDescent="0.2">
      <c r="A54" s="205"/>
      <c r="B54" s="95"/>
      <c r="C54" s="321"/>
      <c r="D54" s="321"/>
    </row>
    <row r="55" spans="1:4" ht="14.1" customHeight="1" x14ac:dyDescent="0.2">
      <c r="A55" s="49"/>
      <c r="B55" s="324"/>
      <c r="C55" s="324"/>
      <c r="D55" s="324"/>
    </row>
    <row r="56" spans="1:4" ht="14.1" customHeight="1" x14ac:dyDescent="0.2">
      <c r="A56" s="49"/>
      <c r="B56" s="324"/>
      <c r="C56" s="324"/>
      <c r="D56" s="324"/>
    </row>
    <row r="57" spans="1:4" ht="14.1" customHeight="1" x14ac:dyDescent="0.2">
      <c r="A57" s="49"/>
      <c r="B57" s="324"/>
      <c r="C57" s="324"/>
      <c r="D57" s="324"/>
    </row>
    <row r="58" spans="1:4" ht="14.1" customHeight="1" x14ac:dyDescent="0.2">
      <c r="A58" s="49"/>
      <c r="B58" s="324"/>
      <c r="C58" s="324"/>
      <c r="D58" s="324"/>
    </row>
  </sheetData>
  <mergeCells count="11">
    <mergeCell ref="B41:D41"/>
    <mergeCell ref="B8:D8"/>
    <mergeCell ref="B19:D19"/>
    <mergeCell ref="B23:D23"/>
    <mergeCell ref="B24:D24"/>
    <mergeCell ref="B28:D28"/>
    <mergeCell ref="B4:D4"/>
    <mergeCell ref="B5:D5"/>
    <mergeCell ref="B25:D25"/>
    <mergeCell ref="B37:D37"/>
    <mergeCell ref="B38:D38"/>
  </mergeCells>
  <pageMargins left="0.70866141732283472" right="0.70866141732283472" top="0.74803149606299213" bottom="0.74803149606299213" header="0.31496062992125984" footer="0.31496062992125984"/>
  <pageSetup paperSize="9" fitToHeight="0" orientation="portrait" verticalDpi="0" r:id="rId1"/>
  <headerFooter>
    <oddFooter>&amp;RPage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9">
    <pageSetUpPr fitToPage="1"/>
  </sheetPr>
  <dimension ref="A1:H53"/>
  <sheetViews>
    <sheetView showGridLines="0" topLeftCell="A37" zoomScaleNormal="100" workbookViewId="0">
      <selection activeCell="E42" sqref="E42"/>
    </sheetView>
  </sheetViews>
  <sheetFormatPr defaultColWidth="9.140625" defaultRowHeight="12" x14ac:dyDescent="0.2"/>
  <cols>
    <col min="1" max="1" width="1.42578125" style="38" customWidth="1"/>
    <col min="2" max="2" width="85.85546875" style="26" customWidth="1"/>
    <col min="3" max="16384" width="9.140625" style="133"/>
  </cols>
  <sheetData>
    <row r="1" spans="1:2" s="313" customFormat="1" ht="12.75" x14ac:dyDescent="0.2">
      <c r="A1" s="350" t="s">
        <v>1310</v>
      </c>
      <c r="B1" s="351"/>
    </row>
    <row r="2" spans="1:2" s="313" customFormat="1" x14ac:dyDescent="0.2">
      <c r="A2" s="205"/>
      <c r="B2" s="346"/>
    </row>
    <row r="3" spans="1:2" x14ac:dyDescent="0.2">
      <c r="A3" s="205">
        <f>'Acc''g policies 4'!A21+1</f>
        <v>10</v>
      </c>
      <c r="B3" s="27" t="str">
        <f>"Note 1."&amp;A3&amp; " Inventories "</f>
        <v xml:space="preserve">Note 1.10 Inventories </v>
      </c>
    </row>
    <row r="4" spans="1:2" ht="9.75" customHeight="1" x14ac:dyDescent="0.2">
      <c r="A4" s="205"/>
      <c r="B4" s="321"/>
    </row>
    <row r="5" spans="1:2" ht="23.25" customHeight="1" x14ac:dyDescent="0.2">
      <c r="A5" s="205"/>
      <c r="B5" s="345" t="s">
        <v>1319</v>
      </c>
    </row>
    <row r="6" spans="1:2" s="310" customFormat="1" ht="63.2" customHeight="1" x14ac:dyDescent="0.2">
      <c r="A6" s="205"/>
      <c r="B6" s="318" t="s">
        <v>1260</v>
      </c>
    </row>
    <row r="7" spans="1:2" s="149" customFormat="1" x14ac:dyDescent="0.2">
      <c r="A7" s="205"/>
      <c r="B7" s="159"/>
    </row>
    <row r="8" spans="1:2" s="149" customFormat="1" x14ac:dyDescent="0.2">
      <c r="A8" s="205">
        <f>A3+1</f>
        <v>11</v>
      </c>
      <c r="B8" s="164" t="str">
        <f>"Note 1."&amp;A8&amp; " Cash and cash equivalents"</f>
        <v>Note 1.11 Cash and cash equivalents</v>
      </c>
    </row>
    <row r="9" spans="1:2" s="149" customFormat="1" ht="84.95" customHeight="1" x14ac:dyDescent="0.2">
      <c r="A9" s="205"/>
      <c r="B9" s="165" t="s">
        <v>710</v>
      </c>
    </row>
    <row r="10" spans="1:2" s="149" customFormat="1" x14ac:dyDescent="0.2">
      <c r="A10" s="205"/>
      <c r="B10" s="159"/>
    </row>
    <row r="11" spans="1:2" x14ac:dyDescent="0.2">
      <c r="A11" s="205">
        <f>A8+1</f>
        <v>12</v>
      </c>
      <c r="B11" s="27" t="str">
        <f>"Note 1."&amp; A11&amp; " Financial assets and financial liabilities"</f>
        <v>Note 1.12 Financial assets and financial liabilities</v>
      </c>
    </row>
    <row r="12" spans="1:2" s="255" customFormat="1" x14ac:dyDescent="0.2">
      <c r="A12" s="205"/>
      <c r="B12" s="27"/>
    </row>
    <row r="13" spans="1:2" s="255" customFormat="1" x14ac:dyDescent="0.2">
      <c r="A13" s="205"/>
      <c r="B13" s="27" t="s">
        <v>665</v>
      </c>
    </row>
    <row r="14" spans="1:2" s="255" customFormat="1" ht="63" customHeight="1" x14ac:dyDescent="0.2">
      <c r="A14" s="205"/>
      <c r="B14" s="313" t="s">
        <v>711</v>
      </c>
    </row>
    <row r="15" spans="1:2" s="255" customFormat="1" x14ac:dyDescent="0.2">
      <c r="A15" s="205"/>
      <c r="B15" s="313"/>
    </row>
    <row r="16" spans="1:2" s="255" customFormat="1" ht="48" x14ac:dyDescent="0.2">
      <c r="A16" s="205"/>
      <c r="B16" s="313" t="s">
        <v>712</v>
      </c>
    </row>
    <row r="17" spans="1:2" s="255" customFormat="1" ht="9.75" customHeight="1" x14ac:dyDescent="0.2">
      <c r="A17" s="205"/>
      <c r="B17" s="313"/>
    </row>
    <row r="18" spans="1:2" s="255" customFormat="1" x14ac:dyDescent="0.2">
      <c r="A18" s="205"/>
      <c r="B18" s="27" t="s">
        <v>713</v>
      </c>
    </row>
    <row r="19" spans="1:2" s="255" customFormat="1" ht="51.75" customHeight="1" x14ac:dyDescent="0.2">
      <c r="A19" s="205"/>
      <c r="B19" s="313" t="s">
        <v>714</v>
      </c>
    </row>
    <row r="20" spans="1:2" s="255" customFormat="1" x14ac:dyDescent="0.2">
      <c r="A20" s="205"/>
      <c r="B20" s="313"/>
    </row>
    <row r="21" spans="1:2" s="255" customFormat="1" ht="36" x14ac:dyDescent="0.2">
      <c r="A21" s="205"/>
      <c r="B21" s="246" t="s">
        <v>715</v>
      </c>
    </row>
    <row r="22" spans="1:2" s="255" customFormat="1" x14ac:dyDescent="0.2">
      <c r="A22" s="205"/>
      <c r="B22" s="313"/>
    </row>
    <row r="23" spans="1:2" x14ac:dyDescent="0.2">
      <c r="A23" s="205"/>
      <c r="B23" s="313" t="s">
        <v>1320</v>
      </c>
    </row>
    <row r="24" spans="1:2" s="255" customFormat="1" x14ac:dyDescent="0.2">
      <c r="A24" s="205"/>
      <c r="B24" s="313"/>
    </row>
    <row r="25" spans="1:2" s="255" customFormat="1" x14ac:dyDescent="0.2">
      <c r="A25" s="205"/>
      <c r="B25" s="313" t="s">
        <v>1321</v>
      </c>
    </row>
    <row r="26" spans="1:2" x14ac:dyDescent="0.2">
      <c r="A26" s="205"/>
      <c r="B26" s="313"/>
    </row>
    <row r="27" spans="1:2" x14ac:dyDescent="0.2">
      <c r="A27" s="205"/>
      <c r="B27" s="295" t="s">
        <v>716</v>
      </c>
    </row>
    <row r="28" spans="1:2" ht="63" customHeight="1" x14ac:dyDescent="0.2">
      <c r="A28" s="205"/>
      <c r="B28" s="321" t="s">
        <v>1322</v>
      </c>
    </row>
    <row r="29" spans="1:2" x14ac:dyDescent="0.2">
      <c r="A29" s="205"/>
      <c r="B29" s="318"/>
    </row>
    <row r="30" spans="1:2" ht="60" x14ac:dyDescent="0.2">
      <c r="A30" s="205"/>
      <c r="B30" s="321" t="s">
        <v>717</v>
      </c>
    </row>
    <row r="31" spans="1:2" s="421" customFormat="1" ht="12.75" x14ac:dyDescent="0.2">
      <c r="A31" s="350" t="s">
        <v>1310</v>
      </c>
      <c r="B31" s="351"/>
    </row>
    <row r="32" spans="1:2" s="431" customFormat="1" ht="12.75" x14ac:dyDescent="0.2">
      <c r="A32" s="428"/>
      <c r="B32" s="2"/>
    </row>
    <row r="33" spans="1:8" ht="60" x14ac:dyDescent="0.2">
      <c r="B33" s="165" t="s">
        <v>1323</v>
      </c>
      <c r="C33" s="313"/>
      <c r="D33" s="313"/>
      <c r="E33" s="313"/>
      <c r="F33" s="313"/>
      <c r="G33" s="313"/>
      <c r="H33" s="313"/>
    </row>
    <row r="34" spans="1:8" x14ac:dyDescent="0.2">
      <c r="B34" s="318"/>
      <c r="C34" s="313"/>
      <c r="D34" s="313"/>
      <c r="E34" s="313"/>
      <c r="F34" s="313"/>
      <c r="G34" s="313"/>
      <c r="H34" s="313"/>
    </row>
    <row r="35" spans="1:8" x14ac:dyDescent="0.2">
      <c r="B35" s="353" t="s">
        <v>718</v>
      </c>
      <c r="C35" s="313"/>
      <c r="D35" s="313"/>
      <c r="E35" s="313"/>
      <c r="F35" s="313"/>
      <c r="G35" s="313"/>
      <c r="H35" s="313"/>
    </row>
    <row r="36" spans="1:8" ht="86.25" customHeight="1" x14ac:dyDescent="0.2">
      <c r="B36" s="345" t="s">
        <v>1324</v>
      </c>
      <c r="C36" s="313"/>
      <c r="D36" s="313"/>
      <c r="E36" s="313"/>
      <c r="F36" s="313"/>
      <c r="G36" s="313"/>
      <c r="H36" s="313"/>
    </row>
    <row r="37" spans="1:8" x14ac:dyDescent="0.2">
      <c r="B37" s="325"/>
      <c r="C37" s="313"/>
      <c r="D37" s="313"/>
      <c r="E37" s="313"/>
      <c r="F37" s="313"/>
      <c r="G37" s="313"/>
      <c r="H37" s="313"/>
    </row>
    <row r="38" spans="1:8" x14ac:dyDescent="0.2">
      <c r="B38" s="353" t="s">
        <v>719</v>
      </c>
      <c r="C38" s="314"/>
      <c r="D38" s="314"/>
      <c r="E38" s="314"/>
      <c r="F38" s="314"/>
      <c r="G38" s="314"/>
      <c r="H38" s="314"/>
    </row>
    <row r="39" spans="1:8" ht="81" customHeight="1" x14ac:dyDescent="0.2">
      <c r="B39" s="345" t="s">
        <v>720</v>
      </c>
      <c r="C39" s="313"/>
      <c r="D39" s="313"/>
      <c r="E39" s="313"/>
      <c r="F39" s="313"/>
      <c r="G39" s="313"/>
      <c r="H39" s="313"/>
    </row>
    <row r="40" spans="1:8" x14ac:dyDescent="0.2">
      <c r="B40" s="325"/>
      <c r="C40" s="313"/>
      <c r="D40" s="313"/>
      <c r="E40" s="313"/>
      <c r="F40" s="313"/>
      <c r="G40" s="313"/>
      <c r="H40" s="313"/>
    </row>
    <row r="41" spans="1:8" x14ac:dyDescent="0.2">
      <c r="B41" s="295" t="s">
        <v>721</v>
      </c>
      <c r="C41" s="313"/>
      <c r="D41" s="313"/>
      <c r="E41" s="313"/>
      <c r="F41" s="313"/>
      <c r="G41" s="313"/>
      <c r="H41" s="313"/>
    </row>
    <row r="42" spans="1:8" ht="37.5" customHeight="1" x14ac:dyDescent="0.2">
      <c r="B42" s="165" t="s">
        <v>1325</v>
      </c>
      <c r="C42" s="313"/>
      <c r="D42" s="313"/>
      <c r="E42" s="313"/>
      <c r="F42" s="313"/>
      <c r="G42" s="313"/>
      <c r="H42" s="313"/>
    </row>
    <row r="43" spans="1:8" s="255" customFormat="1" x14ac:dyDescent="0.2">
      <c r="A43" s="205"/>
      <c r="B43" s="321"/>
    </row>
    <row r="44" spans="1:8" ht="60" x14ac:dyDescent="0.2">
      <c r="A44" s="205"/>
      <c r="B44" s="321" t="s">
        <v>722</v>
      </c>
    </row>
    <row r="46" spans="1:8" ht="48" x14ac:dyDescent="0.2">
      <c r="A46" s="205"/>
      <c r="B46" s="321" t="s">
        <v>723</v>
      </c>
    </row>
    <row r="48" spans="1:8" ht="24" x14ac:dyDescent="0.2">
      <c r="A48" s="205"/>
      <c r="B48" s="321" t="s">
        <v>724</v>
      </c>
    </row>
    <row r="50" spans="1:2" x14ac:dyDescent="0.2">
      <c r="A50" s="205"/>
      <c r="B50" s="27" t="s">
        <v>725</v>
      </c>
    </row>
    <row r="51" spans="1:2" ht="29.25" customHeight="1" x14ac:dyDescent="0.2">
      <c r="A51" s="205"/>
      <c r="B51" s="321" t="s">
        <v>726</v>
      </c>
    </row>
    <row r="53" spans="1:2" x14ac:dyDescent="0.2">
      <c r="A53" s="205"/>
      <c r="B53" s="321" t="s">
        <v>727</v>
      </c>
    </row>
  </sheetData>
  <pageMargins left="0.70866141732283472" right="0.70866141732283472" top="0.74803149606299213" bottom="0.74803149606299213" header="0.31496062992125984" footer="0.31496062992125984"/>
  <pageSetup paperSize="9" scale="99" fitToHeight="0" orientation="portrait" verticalDpi="0" r:id="rId1"/>
  <headerFooter>
    <oddFooter>&amp;RPage &amp;P of &amp;N</oddFooter>
  </headerFooter>
  <rowBreaks count="1" manualBreakCount="1">
    <brk id="30" max="16383" man="1"/>
  </rowBreaks>
  <colBreaks count="1" manualBreakCount="1">
    <brk id="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5">
    <pageSetUpPr fitToPage="1"/>
  </sheetPr>
  <dimension ref="A1:E22"/>
  <sheetViews>
    <sheetView showGridLines="0" zoomScaleNormal="100" workbookViewId="0">
      <selection activeCell="B16" sqref="B16:E16"/>
    </sheetView>
  </sheetViews>
  <sheetFormatPr defaultColWidth="9.140625" defaultRowHeight="12" x14ac:dyDescent="0.2"/>
  <cols>
    <col min="1" max="1" width="1.42578125" style="38" customWidth="1"/>
    <col min="2" max="2" width="24.5703125" style="26" customWidth="1"/>
    <col min="3" max="3" width="30.7109375" style="26" customWidth="1"/>
    <col min="4" max="4" width="14.28515625" style="333" customWidth="1"/>
    <col min="5" max="5" width="14.5703125" style="26" customWidth="1"/>
    <col min="6" max="16384" width="9.140625" style="133"/>
  </cols>
  <sheetData>
    <row r="1" spans="1:5" s="313" customFormat="1" ht="12.75" x14ac:dyDescent="0.2">
      <c r="A1" s="350" t="s">
        <v>1310</v>
      </c>
      <c r="B1" s="351"/>
      <c r="C1" s="351"/>
      <c r="D1" s="351"/>
      <c r="E1" s="351"/>
    </row>
    <row r="2" spans="1:5" s="313" customFormat="1" x14ac:dyDescent="0.2">
      <c r="A2" s="205"/>
      <c r="B2" s="346"/>
      <c r="C2" s="346"/>
      <c r="D2" s="346"/>
      <c r="E2" s="346"/>
    </row>
    <row r="3" spans="1:5" x14ac:dyDescent="0.2">
      <c r="A3" s="205">
        <f>'Acc''g policies 5'!A11+1</f>
        <v>13</v>
      </c>
      <c r="B3" s="27" t="str">
        <f>"Note 1."&amp;A3&amp; " Leases"</f>
        <v>Note 1.13 Leases</v>
      </c>
      <c r="C3" s="321"/>
      <c r="E3" s="321"/>
    </row>
    <row r="4" spans="1:5" s="149" customFormat="1" ht="27" customHeight="1" x14ac:dyDescent="0.2">
      <c r="A4" s="205"/>
      <c r="B4" s="448" t="s">
        <v>728</v>
      </c>
      <c r="C4" s="448"/>
      <c r="D4" s="448"/>
      <c r="E4" s="448"/>
    </row>
    <row r="5" spans="1:5" s="149" customFormat="1" ht="9.75" customHeight="1" x14ac:dyDescent="0.2">
      <c r="A5" s="205"/>
      <c r="B5" s="127"/>
      <c r="C5" s="321"/>
      <c r="D5" s="333"/>
      <c r="E5" s="321"/>
    </row>
    <row r="6" spans="1:5" x14ac:dyDescent="0.2">
      <c r="A6" s="205"/>
      <c r="B6" s="27" t="s">
        <v>729</v>
      </c>
      <c r="C6" s="321"/>
      <c r="E6" s="321"/>
    </row>
    <row r="7" spans="1:5" s="313" customFormat="1" ht="19.5" customHeight="1" x14ac:dyDescent="0.2">
      <c r="A7" s="205"/>
      <c r="B7" s="300" t="s">
        <v>1096</v>
      </c>
      <c r="C7" s="336"/>
      <c r="D7" s="336"/>
      <c r="E7" s="336"/>
    </row>
    <row r="8" spans="1:5" ht="138.6" customHeight="1" x14ac:dyDescent="0.2">
      <c r="A8" s="205"/>
      <c r="B8" s="445" t="s">
        <v>1293</v>
      </c>
      <c r="C8" s="445"/>
      <c r="D8" s="445"/>
      <c r="E8" s="445"/>
    </row>
    <row r="9" spans="1:5" s="313" customFormat="1" ht="23.25" customHeight="1" x14ac:dyDescent="0.2">
      <c r="A9" s="205"/>
      <c r="B9" s="449" t="s">
        <v>1294</v>
      </c>
      <c r="C9" s="449"/>
      <c r="D9" s="449"/>
      <c r="E9" s="449"/>
    </row>
    <row r="10" spans="1:5" ht="68.25" customHeight="1" x14ac:dyDescent="0.2">
      <c r="A10" s="205"/>
      <c r="B10" s="448" t="s">
        <v>1295</v>
      </c>
      <c r="C10" s="448"/>
      <c r="D10" s="448"/>
      <c r="E10" s="448"/>
    </row>
    <row r="11" spans="1:5" ht="23.25" customHeight="1" x14ac:dyDescent="0.2">
      <c r="B11" s="449" t="s">
        <v>1296</v>
      </c>
      <c r="C11" s="449"/>
      <c r="D11" s="449"/>
      <c r="E11" s="449"/>
    </row>
    <row r="12" spans="1:5" ht="27.75" customHeight="1" x14ac:dyDescent="0.2">
      <c r="A12" s="205"/>
      <c r="B12" s="445" t="s">
        <v>1297</v>
      </c>
      <c r="C12" s="445"/>
      <c r="D12" s="445"/>
      <c r="E12" s="445"/>
    </row>
    <row r="13" spans="1:5" ht="3.75" customHeight="1" x14ac:dyDescent="0.2">
      <c r="A13" s="205"/>
      <c r="B13" s="321"/>
      <c r="C13" s="321"/>
      <c r="E13" s="321"/>
    </row>
    <row r="14" spans="1:5" ht="17.45" customHeight="1" x14ac:dyDescent="0.2">
      <c r="A14" s="205"/>
      <c r="B14" s="164" t="s">
        <v>730</v>
      </c>
      <c r="C14" s="321"/>
      <c r="E14" s="321"/>
    </row>
    <row r="15" spans="1:5" s="149" customFormat="1" ht="51" customHeight="1" x14ac:dyDescent="0.2">
      <c r="A15" s="205"/>
      <c r="B15" s="448" t="s">
        <v>1449</v>
      </c>
      <c r="C15" s="448"/>
      <c r="D15" s="448"/>
      <c r="E15" s="448"/>
    </row>
    <row r="16" spans="1:5" s="149" customFormat="1" ht="56.1" customHeight="1" x14ac:dyDescent="0.2">
      <c r="A16" s="205"/>
      <c r="B16" s="448" t="s">
        <v>1450</v>
      </c>
      <c r="C16" s="448"/>
      <c r="D16" s="448"/>
      <c r="E16" s="448"/>
    </row>
    <row r="17" spans="1:5" s="149" customFormat="1" ht="12.75" customHeight="1" x14ac:dyDescent="0.2">
      <c r="A17" s="205"/>
      <c r="B17" s="27"/>
      <c r="C17" s="321"/>
      <c r="D17" s="333"/>
      <c r="E17" s="321"/>
    </row>
    <row r="19" spans="1:5" x14ac:dyDescent="0.2">
      <c r="A19" s="49"/>
      <c r="B19" s="324"/>
      <c r="C19" s="324"/>
      <c r="D19" s="334"/>
      <c r="E19" s="324"/>
    </row>
    <row r="20" spans="1:5" x14ac:dyDescent="0.2">
      <c r="A20" s="49"/>
      <c r="B20" s="324"/>
      <c r="C20" s="324"/>
      <c r="D20" s="334"/>
      <c r="E20" s="324"/>
    </row>
    <row r="21" spans="1:5" x14ac:dyDescent="0.2">
      <c r="A21" s="49"/>
      <c r="B21" s="324"/>
      <c r="C21" s="324"/>
      <c r="D21" s="334"/>
      <c r="E21" s="324"/>
    </row>
    <row r="22" spans="1:5" x14ac:dyDescent="0.2">
      <c r="A22" s="49"/>
      <c r="B22" s="324"/>
      <c r="C22" s="324"/>
      <c r="D22" s="334"/>
      <c r="E22" s="324"/>
    </row>
  </sheetData>
  <mergeCells count="8">
    <mergeCell ref="B16:E16"/>
    <mergeCell ref="B9:E9"/>
    <mergeCell ref="B11:E11"/>
    <mergeCell ref="B4:E4"/>
    <mergeCell ref="B8:E8"/>
    <mergeCell ref="B10:E10"/>
    <mergeCell ref="B12:E12"/>
    <mergeCell ref="B15:E15"/>
  </mergeCells>
  <pageMargins left="0.70866141732283472" right="0.70866141732283472" top="0.74803149606299213" bottom="0.74803149606299213" header="0.31496062992125984" footer="0.31496062992125984"/>
  <pageSetup paperSize="9" fitToHeight="0" orientation="portrait" verticalDpi="0" r:id="rId1"/>
  <headerFooter>
    <oddFooter>&amp;RPage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76860-4AC1-443C-81AC-987677A9202D}">
  <sheetPr>
    <pageSetUpPr fitToPage="1"/>
  </sheetPr>
  <dimension ref="A1:E31"/>
  <sheetViews>
    <sheetView showGridLines="0" topLeftCell="A23" zoomScaleNormal="100" workbookViewId="0">
      <selection activeCell="F23" sqref="F23"/>
    </sheetView>
  </sheetViews>
  <sheetFormatPr defaultColWidth="9.140625" defaultRowHeight="12" x14ac:dyDescent="0.2"/>
  <cols>
    <col min="1" max="1" width="1.42578125" style="205" customWidth="1"/>
    <col min="2" max="2" width="24.5703125" style="336" customWidth="1"/>
    <col min="3" max="3" width="30.7109375" style="336" customWidth="1"/>
    <col min="4" max="4" width="14.28515625" style="336" customWidth="1"/>
    <col min="5" max="5" width="14.5703125" style="336" customWidth="1"/>
    <col min="6" max="16384" width="9.140625" style="313"/>
  </cols>
  <sheetData>
    <row r="1" spans="1:5" ht="12.75" x14ac:dyDescent="0.2">
      <c r="A1" s="350" t="s">
        <v>1310</v>
      </c>
      <c r="B1" s="351"/>
      <c r="C1" s="351"/>
      <c r="D1" s="351"/>
      <c r="E1" s="351"/>
    </row>
    <row r="2" spans="1:5" x14ac:dyDescent="0.2">
      <c r="B2" s="346"/>
      <c r="C2" s="346"/>
      <c r="D2" s="346"/>
      <c r="E2" s="346"/>
    </row>
    <row r="3" spans="1:5" x14ac:dyDescent="0.2">
      <c r="A3" s="205">
        <f>'Acc''g policies 6'!A3+1</f>
        <v>14</v>
      </c>
      <c r="B3" s="27" t="str">
        <f>"Note 1."&amp; A3&amp; " Provisions "</f>
        <v xml:space="preserve">Note 1.14 Provisions </v>
      </c>
    </row>
    <row r="4" spans="1:5" ht="77.25" customHeight="1" x14ac:dyDescent="0.2">
      <c r="B4" s="445" t="s">
        <v>1285</v>
      </c>
      <c r="C4" s="445"/>
      <c r="D4" s="445"/>
      <c r="E4" s="445"/>
    </row>
    <row r="5" spans="1:5" ht="9.75" customHeight="1" x14ac:dyDescent="0.2">
      <c r="B5" s="335"/>
      <c r="C5" s="335"/>
      <c r="D5" s="335"/>
      <c r="E5" s="335"/>
    </row>
    <row r="6" spans="1:5" x14ac:dyDescent="0.2">
      <c r="B6" s="340"/>
      <c r="C6" s="340"/>
      <c r="D6" s="341" t="s">
        <v>731</v>
      </c>
      <c r="E6" s="341" t="s">
        <v>1289</v>
      </c>
    </row>
    <row r="7" spans="1:5" x14ac:dyDescent="0.2">
      <c r="B7" s="340" t="s">
        <v>732</v>
      </c>
      <c r="C7" s="340" t="s">
        <v>733</v>
      </c>
      <c r="D7" s="342">
        <v>4.7000000000000002E-3</v>
      </c>
      <c r="E7" s="342" t="s">
        <v>734</v>
      </c>
    </row>
    <row r="8" spans="1:5" x14ac:dyDescent="0.2">
      <c r="B8" s="340" t="s">
        <v>735</v>
      </c>
      <c r="C8" s="340" t="s">
        <v>736</v>
      </c>
      <c r="D8" s="342">
        <v>7.0000000000000001E-3</v>
      </c>
      <c r="E8" s="342">
        <v>1.8E-3</v>
      </c>
    </row>
    <row r="9" spans="1:5" x14ac:dyDescent="0.2">
      <c r="B9" s="340" t="s">
        <v>737</v>
      </c>
      <c r="C9" s="340" t="s">
        <v>1287</v>
      </c>
      <c r="D9" s="342">
        <v>9.4999999999999998E-3</v>
      </c>
      <c r="E9" s="342">
        <v>1.9900000000000001E-2</v>
      </c>
    </row>
    <row r="10" spans="1:5" x14ac:dyDescent="0.2">
      <c r="B10" s="340"/>
      <c r="C10" s="340" t="s">
        <v>1288</v>
      </c>
      <c r="D10" s="342">
        <v>6.6E-3</v>
      </c>
      <c r="E10" s="342">
        <v>1.9900000000000001E-2</v>
      </c>
    </row>
    <row r="11" spans="1:5" s="314" customFormat="1" x14ac:dyDescent="0.2">
      <c r="A11" s="49"/>
      <c r="B11" s="337"/>
      <c r="C11" s="337"/>
      <c r="D11" s="337"/>
      <c r="E11" s="337"/>
    </row>
    <row r="12" spans="1:5" ht="34.700000000000003" customHeight="1" x14ac:dyDescent="0.2">
      <c r="B12" s="445" t="s">
        <v>1286</v>
      </c>
      <c r="C12" s="445"/>
      <c r="D12" s="445"/>
      <c r="E12" s="445"/>
    </row>
    <row r="13" spans="1:5" ht="10.9" customHeight="1" x14ac:dyDescent="0.2">
      <c r="B13" s="335"/>
      <c r="C13" s="335"/>
      <c r="D13" s="335"/>
      <c r="E13" s="335"/>
    </row>
    <row r="14" spans="1:5" x14ac:dyDescent="0.2">
      <c r="B14" s="340"/>
      <c r="C14" s="340"/>
      <c r="D14" s="341" t="s">
        <v>738</v>
      </c>
      <c r="E14" s="341" t="s">
        <v>1289</v>
      </c>
    </row>
    <row r="15" spans="1:5" x14ac:dyDescent="0.2">
      <c r="B15" s="340" t="s">
        <v>739</v>
      </c>
      <c r="C15" s="343"/>
      <c r="D15" s="342">
        <v>0.04</v>
      </c>
      <c r="E15" s="342">
        <v>1.2E-2</v>
      </c>
    </row>
    <row r="16" spans="1:5" x14ac:dyDescent="0.2">
      <c r="B16" s="340" t="s">
        <v>740</v>
      </c>
      <c r="C16" s="343"/>
      <c r="D16" s="342">
        <v>2.5999999999999999E-2</v>
      </c>
      <c r="E16" s="342">
        <v>1.6E-2</v>
      </c>
    </row>
    <row r="17" spans="1:5" x14ac:dyDescent="0.2">
      <c r="B17" s="340" t="s">
        <v>741</v>
      </c>
      <c r="C17" s="343"/>
      <c r="D17" s="342">
        <v>0.02</v>
      </c>
      <c r="E17" s="342">
        <v>0.02</v>
      </c>
    </row>
    <row r="18" spans="1:5" x14ac:dyDescent="0.2">
      <c r="B18" s="335"/>
      <c r="C18" s="335"/>
      <c r="D18" s="335"/>
      <c r="E18" s="339"/>
    </row>
    <row r="19" spans="1:5" ht="23.1" customHeight="1" x14ac:dyDescent="0.2">
      <c r="B19" s="445" t="s">
        <v>1290</v>
      </c>
      <c r="C19" s="445"/>
      <c r="D19" s="445"/>
      <c r="E19" s="445"/>
    </row>
    <row r="20" spans="1:5" ht="16.350000000000001" customHeight="1" x14ac:dyDescent="0.2">
      <c r="B20" s="335"/>
      <c r="C20" s="335"/>
      <c r="D20" s="335"/>
      <c r="E20" s="335"/>
    </row>
    <row r="21" spans="1:5" x14ac:dyDescent="0.2">
      <c r="B21" s="295" t="s">
        <v>742</v>
      </c>
      <c r="C21" s="335"/>
      <c r="D21" s="335"/>
      <c r="E21" s="335"/>
    </row>
    <row r="22" spans="1:5" ht="74.25" customHeight="1" x14ac:dyDescent="0.2">
      <c r="B22" s="445" t="s">
        <v>1431</v>
      </c>
      <c r="C22" s="445"/>
      <c r="D22" s="445"/>
      <c r="E22" s="445"/>
    </row>
    <row r="23" spans="1:5" ht="90" customHeight="1" x14ac:dyDescent="0.2">
      <c r="B23" s="445" t="s">
        <v>743</v>
      </c>
      <c r="C23" s="445"/>
      <c r="D23" s="445"/>
      <c r="E23" s="445"/>
    </row>
    <row r="25" spans="1:5" s="133" customFormat="1" x14ac:dyDescent="0.2">
      <c r="A25" s="205">
        <f>'Acc''g policies 7'!A3+1</f>
        <v>15</v>
      </c>
      <c r="B25" s="27" t="str">
        <f>"Note 1." &amp;A25&amp;" Contingencies"</f>
        <v>Note 1.15 Contingencies</v>
      </c>
      <c r="C25" s="321"/>
      <c r="D25" s="321"/>
    </row>
    <row r="26" spans="1:5" s="133" customFormat="1" ht="165.75" customHeight="1" x14ac:dyDescent="0.2">
      <c r="A26" s="205"/>
      <c r="B26" s="445" t="s">
        <v>1432</v>
      </c>
      <c r="C26" s="445"/>
      <c r="D26" s="445"/>
      <c r="E26" s="445"/>
    </row>
    <row r="27" spans="1:5" s="133" customFormat="1" x14ac:dyDescent="0.2">
      <c r="A27" s="38"/>
      <c r="B27" s="26"/>
      <c r="C27" s="26"/>
      <c r="D27" s="26"/>
    </row>
    <row r="28" spans="1:5" x14ac:dyDescent="0.2">
      <c r="A28" s="49"/>
      <c r="B28" s="338"/>
      <c r="C28" s="338"/>
      <c r="D28" s="338"/>
      <c r="E28" s="338"/>
    </row>
    <row r="29" spans="1:5" x14ac:dyDescent="0.2">
      <c r="A29" s="49"/>
      <c r="B29" s="338"/>
      <c r="C29" s="338"/>
      <c r="D29" s="338"/>
      <c r="E29" s="338"/>
    </row>
    <row r="30" spans="1:5" x14ac:dyDescent="0.2">
      <c r="A30" s="49"/>
      <c r="B30" s="338"/>
      <c r="C30" s="338"/>
      <c r="D30" s="338"/>
      <c r="E30" s="338"/>
    </row>
    <row r="31" spans="1:5" x14ac:dyDescent="0.2">
      <c r="A31" s="49"/>
      <c r="B31" s="338"/>
      <c r="C31" s="338"/>
      <c r="D31" s="338"/>
      <c r="E31" s="338"/>
    </row>
  </sheetData>
  <mergeCells count="6">
    <mergeCell ref="B23:E23"/>
    <mergeCell ref="B26:E26"/>
    <mergeCell ref="B4:E4"/>
    <mergeCell ref="B12:E12"/>
    <mergeCell ref="B19:E19"/>
    <mergeCell ref="B22:E22"/>
  </mergeCells>
  <pageMargins left="0.70866141732283472" right="0.70866141732283472" top="0.74803149606299213" bottom="0.74803149606299213" header="0.31496062992125984" footer="0.31496062992125984"/>
  <pageSetup paperSize="9" fitToHeight="0" orientation="portrait" verticalDpi="0" r:id="rId1"/>
  <headerFooter>
    <oddFooter>&amp;RPage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7">
    <pageSetUpPr fitToPage="1"/>
  </sheetPr>
  <dimension ref="A1:B29"/>
  <sheetViews>
    <sheetView showGridLines="0" topLeftCell="A20" zoomScaleNormal="100" workbookViewId="0">
      <selection activeCell="B18" sqref="B18"/>
    </sheetView>
  </sheetViews>
  <sheetFormatPr defaultColWidth="9.140625" defaultRowHeight="12" x14ac:dyDescent="0.2"/>
  <cols>
    <col min="1" max="1" width="1.42578125" style="38" customWidth="1"/>
    <col min="2" max="2" width="85.85546875" style="26" customWidth="1"/>
    <col min="3" max="16384" width="9.140625" style="133"/>
  </cols>
  <sheetData>
    <row r="1" spans="1:2" s="313" customFormat="1" ht="12.75" x14ac:dyDescent="0.2">
      <c r="A1" s="350" t="s">
        <v>1310</v>
      </c>
      <c r="B1" s="351"/>
    </row>
    <row r="2" spans="1:2" s="313" customFormat="1" x14ac:dyDescent="0.2">
      <c r="A2" s="205"/>
      <c r="B2" s="346"/>
    </row>
    <row r="3" spans="1:2" x14ac:dyDescent="0.2">
      <c r="A3" s="205">
        <f>'Acc''g policies 7'!A25+1</f>
        <v>16</v>
      </c>
      <c r="B3" s="27" t="str">
        <f>"Note 1." &amp;A3&amp;" Public dividend capital"</f>
        <v>Note 1.16 Public dividend capital</v>
      </c>
    </row>
    <row r="4" spans="1:2" ht="134.1" customHeight="1" x14ac:dyDescent="0.2">
      <c r="A4" s="205"/>
      <c r="B4" s="320" t="s">
        <v>744</v>
      </c>
    </row>
    <row r="5" spans="1:2" s="310" customFormat="1" ht="32.1" customHeight="1" x14ac:dyDescent="0.2">
      <c r="A5" s="205"/>
      <c r="B5" s="320" t="s">
        <v>745</v>
      </c>
    </row>
    <row r="6" spans="1:2" s="310" customFormat="1" ht="56.45" customHeight="1" x14ac:dyDescent="0.2">
      <c r="A6" s="205"/>
      <c r="B6" s="320" t="s">
        <v>746</v>
      </c>
    </row>
    <row r="8" spans="1:2" x14ac:dyDescent="0.2">
      <c r="A8" s="205">
        <f>A3+1</f>
        <v>17</v>
      </c>
      <c r="B8" s="27" t="str">
        <f>"Note 1." &amp;A8&amp;" Value added tax "</f>
        <v xml:space="preserve">Note 1.17 Value added tax </v>
      </c>
    </row>
    <row r="10" spans="1:2" ht="48" x14ac:dyDescent="0.2">
      <c r="A10" s="205"/>
      <c r="B10" s="318" t="s">
        <v>747</v>
      </c>
    </row>
    <row r="12" spans="1:2" s="310" customFormat="1" x14ac:dyDescent="0.2">
      <c r="A12" s="205">
        <f>A8+1</f>
        <v>18</v>
      </c>
      <c r="B12" s="27" t="str">
        <f>"Note 1." &amp;A12&amp;" Climate change levy "</f>
        <v xml:space="preserve">Note 1.18 Climate change levy </v>
      </c>
    </row>
    <row r="13" spans="1:2" s="310" customFormat="1" ht="33.950000000000003" customHeight="1" x14ac:dyDescent="0.2">
      <c r="A13" s="205"/>
      <c r="B13" s="313" t="s">
        <v>748</v>
      </c>
    </row>
    <row r="14" spans="1:2" s="421" customFormat="1" ht="12.75" x14ac:dyDescent="0.2">
      <c r="A14" s="428"/>
      <c r="B14" s="2"/>
    </row>
    <row r="15" spans="1:2" s="421" customFormat="1" ht="12.75" x14ac:dyDescent="0.2">
      <c r="A15" s="350" t="s">
        <v>1310</v>
      </c>
      <c r="B15" s="351"/>
    </row>
    <row r="16" spans="1:2" s="421" customFormat="1" ht="12.75" x14ac:dyDescent="0.2">
      <c r="A16" s="428"/>
      <c r="B16" s="2"/>
    </row>
    <row r="17" spans="1:2" x14ac:dyDescent="0.2">
      <c r="A17" s="205">
        <f>A12+1</f>
        <v>19</v>
      </c>
      <c r="B17" s="164" t="str">
        <f>"Note 1."&amp;A17&amp; " Foreign exchange "</f>
        <v xml:space="preserve">Note 1.19 Foreign exchange </v>
      </c>
    </row>
    <row r="18" spans="1:2" ht="207.75" customHeight="1" x14ac:dyDescent="0.2">
      <c r="A18" s="205"/>
      <c r="B18" s="345" t="s">
        <v>749</v>
      </c>
    </row>
    <row r="20" spans="1:2" x14ac:dyDescent="0.2">
      <c r="A20" s="205">
        <f>A17+1</f>
        <v>20</v>
      </c>
      <c r="B20" s="27" t="str">
        <f>"Note 1."&amp;A20&amp; " Third party assets "</f>
        <v xml:space="preserve">Note 1.20 Third party assets </v>
      </c>
    </row>
    <row r="22" spans="1:2" ht="36" x14ac:dyDescent="0.2">
      <c r="A22" s="205"/>
      <c r="B22" s="318" t="s">
        <v>750</v>
      </c>
    </row>
    <row r="24" spans="1:2" x14ac:dyDescent="0.2">
      <c r="A24" s="205">
        <f>A20+1</f>
        <v>21</v>
      </c>
      <c r="B24" s="27" t="str">
        <f>"Note 1." &amp;A24&amp;" Losses and special payments"</f>
        <v>Note 1.21 Losses and special payments</v>
      </c>
    </row>
    <row r="25" spans="1:2" ht="103.5" customHeight="1" x14ac:dyDescent="0.2">
      <c r="A25" s="205"/>
      <c r="B25" s="318" t="s">
        <v>751</v>
      </c>
    </row>
    <row r="26" spans="1:2" s="144" customFormat="1" x14ac:dyDescent="0.2">
      <c r="A26" s="205"/>
      <c r="B26" s="321"/>
    </row>
    <row r="27" spans="1:2" s="144" customFormat="1" x14ac:dyDescent="0.2">
      <c r="A27" s="205">
        <f>A24+1</f>
        <v>22</v>
      </c>
      <c r="B27" s="164" t="str">
        <f>"Note 1." &amp;A27&amp;" Gifts"</f>
        <v>Note 1.22 Gifts</v>
      </c>
    </row>
    <row r="28" spans="1:2" s="144" customFormat="1" x14ac:dyDescent="0.2">
      <c r="A28" s="205"/>
      <c r="B28" s="165"/>
    </row>
    <row r="29" spans="1:2" s="144" customFormat="1" ht="35.450000000000003" customHeight="1" x14ac:dyDescent="0.2">
      <c r="A29" s="205"/>
      <c r="B29" s="345" t="s">
        <v>752</v>
      </c>
    </row>
  </sheetData>
  <pageMargins left="0.70866141732283472" right="0.70866141732283472" top="0.74803149606299213" bottom="0.74803149606299213" header="0.31496062992125984" footer="0.31496062992125984"/>
  <pageSetup paperSize="9" scale="99" fitToHeight="0" orientation="portrait" verticalDpi="0" r:id="rId1"/>
  <headerFooter>
    <oddFooter>&amp;RPage &amp;P of &amp;N</oddFooter>
  </headerFooter>
  <rowBreaks count="1" manualBreakCount="1">
    <brk id="14"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7D6C8-14E9-4C6D-A1CA-6B8661E94640}">
  <sheetPr codeName="Sheet12">
    <pageSetUpPr fitToPage="1"/>
  </sheetPr>
  <dimension ref="A1:C60"/>
  <sheetViews>
    <sheetView showGridLines="0" topLeftCell="A35" zoomScaleNormal="100" workbookViewId="0">
      <selection activeCell="C19" sqref="C19"/>
    </sheetView>
  </sheetViews>
  <sheetFormatPr defaultColWidth="9.140625" defaultRowHeight="12" x14ac:dyDescent="0.2"/>
  <cols>
    <col min="1" max="1" width="1.42578125" style="205" customWidth="1"/>
    <col min="2" max="2" width="84" style="194" customWidth="1"/>
    <col min="3" max="3" width="12.7109375" style="194" customWidth="1"/>
    <col min="4" max="16384" width="9.140625" style="292"/>
  </cols>
  <sheetData>
    <row r="1" spans="1:3" s="313" customFormat="1" ht="12.75" x14ac:dyDescent="0.2">
      <c r="A1" s="350" t="s">
        <v>1310</v>
      </c>
      <c r="B1" s="351"/>
      <c r="C1" s="351"/>
    </row>
    <row r="2" spans="1:3" s="313" customFormat="1" x14ac:dyDescent="0.2">
      <c r="A2" s="205"/>
      <c r="B2" s="346"/>
      <c r="C2" s="346"/>
    </row>
    <row r="3" spans="1:3" x14ac:dyDescent="0.2">
      <c r="A3" s="205">
        <f>'Acc''g policies 8'!A27+1</f>
        <v>23</v>
      </c>
      <c r="B3" s="97" t="str">
        <f>"Note 1."&amp;A3&amp; " Early adoption of standards, amendments and interpretations"</f>
        <v>Note 1.23 Early adoption of standards, amendments and interpretations</v>
      </c>
      <c r="C3" s="321"/>
    </row>
    <row r="4" spans="1:3" ht="23.1" customHeight="1" x14ac:dyDescent="0.2">
      <c r="A4" s="49"/>
      <c r="B4" s="451" t="str">
        <f>"No new accounting standards or revisions to existing standards have been early adopted in "&amp;CurrentFY&amp;"."</f>
        <v>No new accounting standards or revisions to existing standards have been early adopted in 2021/22.</v>
      </c>
      <c r="C4" s="451"/>
    </row>
    <row r="6" spans="1:3" x14ac:dyDescent="0.2">
      <c r="A6" s="205">
        <f>A3+1</f>
        <v>24</v>
      </c>
      <c r="B6" s="97" t="str">
        <f>"Note 1."&amp;A6&amp; " Standards, amendments and interpretations in issue but not yet effective or adopted"</f>
        <v>Note 1.24 Standards, amendments and interpretations in issue but not yet effective or adopted</v>
      </c>
      <c r="C6" s="321"/>
    </row>
    <row r="7" spans="1:3" x14ac:dyDescent="0.2">
      <c r="B7" s="97"/>
      <c r="C7" s="321"/>
    </row>
    <row r="8" spans="1:3" ht="15.75" customHeight="1" x14ac:dyDescent="0.2">
      <c r="B8" s="302" t="s">
        <v>753</v>
      </c>
      <c r="C8" s="321"/>
    </row>
    <row r="9" spans="1:3" ht="97.5" customHeight="1" x14ac:dyDescent="0.2">
      <c r="B9" s="452" t="s">
        <v>754</v>
      </c>
      <c r="C9" s="452"/>
    </row>
    <row r="10" spans="1:3" ht="42" customHeight="1" x14ac:dyDescent="0.2">
      <c r="B10" s="452" t="s">
        <v>755</v>
      </c>
      <c r="C10" s="452"/>
    </row>
    <row r="11" spans="1:3" ht="134.25" customHeight="1" x14ac:dyDescent="0.2">
      <c r="B11" s="444" t="s">
        <v>1326</v>
      </c>
      <c r="C11" s="444"/>
    </row>
    <row r="12" spans="1:3" s="294" customFormat="1" ht="50.25" customHeight="1" x14ac:dyDescent="0.2">
      <c r="A12" s="205"/>
      <c r="B12" s="452" t="s">
        <v>756</v>
      </c>
      <c r="C12" s="452"/>
    </row>
    <row r="13" spans="1:3" s="294" customFormat="1" ht="24.6" hidden="1" customHeight="1" x14ac:dyDescent="0.2">
      <c r="A13" s="205"/>
      <c r="B13" s="453" t="s">
        <v>757</v>
      </c>
      <c r="C13" s="453"/>
    </row>
    <row r="14" spans="1:3" s="294" customFormat="1" ht="27.2" hidden="1" customHeight="1" x14ac:dyDescent="0.2">
      <c r="A14" s="205"/>
      <c r="B14" s="453" t="s">
        <v>758</v>
      </c>
      <c r="C14" s="453"/>
    </row>
    <row r="15" spans="1:3" s="294" customFormat="1" ht="28.5" customHeight="1" x14ac:dyDescent="0.2">
      <c r="A15" s="205"/>
      <c r="B15" s="448" t="s">
        <v>1261</v>
      </c>
      <c r="C15" s="448"/>
    </row>
    <row r="16" spans="1:3" s="421" customFormat="1" x14ac:dyDescent="0.2">
      <c r="A16" s="205"/>
      <c r="B16" s="419"/>
      <c r="C16" s="419"/>
    </row>
    <row r="17" spans="1:3" s="421" customFormat="1" x14ac:dyDescent="0.2">
      <c r="A17" s="205"/>
      <c r="B17" s="419"/>
      <c r="C17" s="419"/>
    </row>
    <row r="18" spans="1:3" s="294" customFormat="1" x14ac:dyDescent="0.2">
      <c r="A18" s="205"/>
      <c r="B18" s="407"/>
      <c r="C18" s="165"/>
    </row>
    <row r="19" spans="1:3" x14ac:dyDescent="0.2">
      <c r="B19" s="408"/>
      <c r="C19" s="409" t="s">
        <v>502</v>
      </c>
    </row>
    <row r="20" spans="1:3" x14ac:dyDescent="0.2">
      <c r="B20" s="410" t="s">
        <v>759</v>
      </c>
      <c r="C20" s="165"/>
    </row>
    <row r="21" spans="1:3" x14ac:dyDescent="0.2">
      <c r="B21" s="411" t="s">
        <v>760</v>
      </c>
      <c r="C21" s="367">
        <v>33922</v>
      </c>
    </row>
    <row r="22" spans="1:3" x14ac:dyDescent="0.2">
      <c r="B22" s="411" t="s">
        <v>761</v>
      </c>
      <c r="C22" s="367">
        <v>-33922</v>
      </c>
    </row>
    <row r="23" spans="1:3" ht="22.7" hidden="1" customHeight="1" x14ac:dyDescent="0.2">
      <c r="B23" s="412" t="s">
        <v>1395</v>
      </c>
      <c r="C23" s="367">
        <v>0</v>
      </c>
    </row>
    <row r="24" spans="1:3" x14ac:dyDescent="0.2">
      <c r="B24" s="413" t="s">
        <v>762</v>
      </c>
      <c r="C24" s="414">
        <f>SUM(C21:C23)</f>
        <v>0</v>
      </c>
    </row>
    <row r="25" spans="1:3" x14ac:dyDescent="0.2">
      <c r="B25" s="415"/>
      <c r="C25" s="165"/>
    </row>
    <row r="26" spans="1:3" x14ac:dyDescent="0.2">
      <c r="B26" s="410" t="s">
        <v>763</v>
      </c>
      <c r="C26" s="165"/>
    </row>
    <row r="27" spans="1:3" x14ac:dyDescent="0.2">
      <c r="B27" s="411" t="s">
        <v>764</v>
      </c>
      <c r="C27" s="367">
        <v>-5157</v>
      </c>
    </row>
    <row r="28" spans="1:3" x14ac:dyDescent="0.2">
      <c r="B28" s="411" t="s">
        <v>765</v>
      </c>
      <c r="C28" s="367">
        <v>-322</v>
      </c>
    </row>
    <row r="29" spans="1:3" x14ac:dyDescent="0.2">
      <c r="B29" s="411" t="s">
        <v>766</v>
      </c>
      <c r="C29" s="367">
        <v>5042</v>
      </c>
    </row>
    <row r="30" spans="1:3" ht="24" hidden="1" x14ac:dyDescent="0.2">
      <c r="B30" s="412" t="s">
        <v>1396</v>
      </c>
      <c r="C30" s="367">
        <v>0</v>
      </c>
    </row>
    <row r="31" spans="1:3" x14ac:dyDescent="0.2">
      <c r="B31" s="413" t="s">
        <v>767</v>
      </c>
      <c r="C31" s="414">
        <f>SUM(C27:C30)</f>
        <v>-437</v>
      </c>
    </row>
    <row r="32" spans="1:3" ht="6.75" customHeight="1" x14ac:dyDescent="0.2">
      <c r="B32" s="413"/>
      <c r="C32" s="165"/>
    </row>
    <row r="33" spans="1:3" ht="24.75" customHeight="1" x14ac:dyDescent="0.2">
      <c r="B33" s="416" t="s">
        <v>1440</v>
      </c>
      <c r="C33" s="414">
        <v>0</v>
      </c>
    </row>
    <row r="34" spans="1:3" x14ac:dyDescent="0.2">
      <c r="B34" s="293"/>
      <c r="C34" s="321"/>
    </row>
    <row r="35" spans="1:3" s="310" customFormat="1" x14ac:dyDescent="0.2">
      <c r="A35" s="205"/>
      <c r="B35" s="293"/>
      <c r="C35" s="321"/>
    </row>
    <row r="36" spans="1:3" s="294" customFormat="1" ht="36" hidden="1" customHeight="1" x14ac:dyDescent="0.2">
      <c r="A36" s="205"/>
      <c r="B36" s="453" t="s">
        <v>768</v>
      </c>
      <c r="C36" s="453"/>
    </row>
    <row r="37" spans="1:3" s="421" customFormat="1" ht="12.75" x14ac:dyDescent="0.2">
      <c r="A37" s="350" t="s">
        <v>1310</v>
      </c>
      <c r="B37" s="351"/>
      <c r="C37" s="351"/>
    </row>
    <row r="38" spans="1:3" s="421" customFormat="1" ht="12.75" x14ac:dyDescent="0.2">
      <c r="A38" s="428"/>
      <c r="B38" s="2"/>
      <c r="C38" s="2"/>
    </row>
    <row r="39" spans="1:3" x14ac:dyDescent="0.2">
      <c r="B39" s="97" t="s">
        <v>769</v>
      </c>
      <c r="C39" s="321"/>
    </row>
    <row r="40" spans="1:3" s="404" customFormat="1" x14ac:dyDescent="0.2">
      <c r="A40" s="205"/>
      <c r="B40" s="97"/>
      <c r="C40" s="403"/>
    </row>
    <row r="41" spans="1:3" x14ac:dyDescent="0.2">
      <c r="A41" s="49"/>
      <c r="B41" s="450" t="s">
        <v>1392</v>
      </c>
      <c r="C41" s="450"/>
    </row>
    <row r="42" spans="1:3" s="404" customFormat="1" x14ac:dyDescent="0.2">
      <c r="A42" s="49"/>
      <c r="B42" s="406"/>
      <c r="C42" s="406"/>
    </row>
    <row r="43" spans="1:3" s="404" customFormat="1" ht="69" customHeight="1" x14ac:dyDescent="0.2">
      <c r="A43" s="49"/>
      <c r="B43" s="448" t="s">
        <v>1393</v>
      </c>
      <c r="C43" s="448"/>
    </row>
    <row r="44" spans="1:3" s="404" customFormat="1" x14ac:dyDescent="0.2">
      <c r="A44" s="49"/>
      <c r="B44" s="406"/>
      <c r="C44" s="406"/>
    </row>
    <row r="45" spans="1:3" s="421" customFormat="1" ht="12.75" x14ac:dyDescent="0.2">
      <c r="A45" s="428"/>
      <c r="B45" s="2"/>
      <c r="C45" s="2"/>
    </row>
    <row r="46" spans="1:3" x14ac:dyDescent="0.2">
      <c r="A46" s="205">
        <f>A6+1</f>
        <v>25</v>
      </c>
      <c r="B46" s="164" t="str">
        <f>"Note 1." &amp;A46&amp; " Critical judgements in applying accounting policies"</f>
        <v>Note 1.25 Critical judgements in applying accounting policies</v>
      </c>
      <c r="C46" s="325"/>
    </row>
    <row r="47" spans="1:3" ht="54.6" customHeight="1" x14ac:dyDescent="0.2">
      <c r="B47" s="448" t="s">
        <v>1329</v>
      </c>
      <c r="C47" s="448"/>
    </row>
    <row r="48" spans="1:3" s="313" customFormat="1" x14ac:dyDescent="0.2">
      <c r="A48" s="205"/>
      <c r="B48" s="345"/>
      <c r="C48" s="345"/>
    </row>
    <row r="49" spans="1:3" s="313" customFormat="1" x14ac:dyDescent="0.2">
      <c r="A49" s="205"/>
      <c r="B49" s="354" t="s">
        <v>1327</v>
      </c>
      <c r="C49" s="345"/>
    </row>
    <row r="50" spans="1:3" ht="38.450000000000003" customHeight="1" x14ac:dyDescent="0.2">
      <c r="B50" s="448" t="s">
        <v>1328</v>
      </c>
      <c r="C50" s="448"/>
    </row>
    <row r="51" spans="1:3" s="313" customFormat="1" x14ac:dyDescent="0.2">
      <c r="A51" s="205"/>
      <c r="B51" s="345"/>
      <c r="C51" s="348"/>
    </row>
    <row r="52" spans="1:3" x14ac:dyDescent="0.2">
      <c r="A52" s="205">
        <f>A46+1</f>
        <v>26</v>
      </c>
      <c r="B52" s="164" t="str">
        <f>"Note 1." &amp; A52 &amp; " Sources of estimation uncertainty"</f>
        <v>Note 1.26 Sources of estimation uncertainty</v>
      </c>
      <c r="C52" s="348"/>
    </row>
    <row r="53" spans="1:3" ht="34.700000000000003" customHeight="1" x14ac:dyDescent="0.2">
      <c r="B53" s="448" t="s">
        <v>770</v>
      </c>
      <c r="C53" s="448"/>
    </row>
    <row r="54" spans="1:3" ht="89.25" customHeight="1" x14ac:dyDescent="0.2">
      <c r="B54" s="448" t="s">
        <v>1330</v>
      </c>
      <c r="C54" s="448"/>
    </row>
    <row r="55" spans="1:3" ht="94.5" customHeight="1" x14ac:dyDescent="0.2">
      <c r="B55" s="448" t="s">
        <v>1331</v>
      </c>
      <c r="C55" s="448"/>
    </row>
    <row r="56" spans="1:3" x14ac:dyDescent="0.2">
      <c r="B56" s="348"/>
      <c r="C56" s="348"/>
    </row>
    <row r="57" spans="1:3" x14ac:dyDescent="0.2">
      <c r="A57" s="49"/>
      <c r="B57" s="355" t="s">
        <v>1332</v>
      </c>
      <c r="C57" s="347"/>
    </row>
    <row r="58" spans="1:3" ht="28.5" customHeight="1" x14ac:dyDescent="0.2">
      <c r="A58" s="49"/>
      <c r="B58" s="448" t="s">
        <v>1433</v>
      </c>
      <c r="C58" s="448"/>
    </row>
    <row r="59" spans="1:3" x14ac:dyDescent="0.2">
      <c r="B59" s="346"/>
      <c r="C59" s="346"/>
    </row>
    <row r="60" spans="1:3" x14ac:dyDescent="0.2">
      <c r="B60" s="346"/>
      <c r="C60" s="346"/>
    </row>
  </sheetData>
  <mergeCells count="17">
    <mergeCell ref="B4:C4"/>
    <mergeCell ref="B53:C53"/>
    <mergeCell ref="B54:C54"/>
    <mergeCell ref="B55:C55"/>
    <mergeCell ref="B9:C9"/>
    <mergeCell ref="B10:C10"/>
    <mergeCell ref="B11:C11"/>
    <mergeCell ref="B12:C12"/>
    <mergeCell ref="B13:C13"/>
    <mergeCell ref="B14:C14"/>
    <mergeCell ref="B15:C15"/>
    <mergeCell ref="B36:C36"/>
    <mergeCell ref="B41:C41"/>
    <mergeCell ref="B47:C47"/>
    <mergeCell ref="B43:C43"/>
    <mergeCell ref="B58:C58"/>
    <mergeCell ref="B50:C50"/>
  </mergeCells>
  <pageMargins left="0.70866141732283472" right="0.70866141732283472" top="0.74803149606299213" bottom="0.74803149606299213" header="0.31496062992125984" footer="0.31496062992125984"/>
  <pageSetup paperSize="9" scale="88" fitToHeight="0" orientation="portrait" verticalDpi="0" r:id="rId1"/>
  <headerFooter>
    <oddFooter>&amp;RPage &amp;P of &amp;N</oddFooter>
  </headerFooter>
  <rowBreaks count="1" manualBreakCount="1">
    <brk id="34" max="16383" man="1"/>
  </rowBreaks>
  <colBreaks count="1" manualBreakCount="1">
    <brk id="1" max="1048575" man="1"/>
  </colBreaks>
  <ignoredErrors>
    <ignoredError sqref="C1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G91"/>
  <sheetViews>
    <sheetView showGridLines="0" topLeftCell="A6" zoomScaleNormal="100" workbookViewId="0">
      <selection activeCell="K28" sqref="K28"/>
    </sheetView>
  </sheetViews>
  <sheetFormatPr defaultColWidth="9.140625" defaultRowHeight="14.1" customHeight="1" x14ac:dyDescent="0.2"/>
  <cols>
    <col min="1" max="1" width="1.140625" style="38" customWidth="1"/>
    <col min="2" max="2" width="38.85546875" style="21" customWidth="1"/>
    <col min="3" max="4" width="9.140625" style="21"/>
    <col min="5" max="5" width="11.5703125" style="21" customWidth="1"/>
    <col min="6" max="6" width="9.140625" style="21"/>
    <col min="7" max="7" width="9.42578125" style="21" customWidth="1"/>
    <col min="8" max="16384" width="9.140625" style="21"/>
  </cols>
  <sheetData>
    <row r="1" spans="1:7" s="313" customFormat="1" ht="14.1" customHeight="1" x14ac:dyDescent="0.2">
      <c r="A1" s="350" t="s">
        <v>1310</v>
      </c>
      <c r="B1" s="351"/>
      <c r="C1" s="351"/>
      <c r="D1" s="351"/>
      <c r="E1" s="351"/>
      <c r="F1" s="351"/>
      <c r="G1" s="351"/>
    </row>
    <row r="2" spans="1:7" s="313" customFormat="1" ht="14.1" customHeight="1" x14ac:dyDescent="0.2">
      <c r="A2" s="205"/>
    </row>
    <row r="3" spans="1:7" ht="14.1" customHeight="1" x14ac:dyDescent="0.2">
      <c r="A3" s="205">
        <f>ROUNDDOWN('Acc''g policies 1'!A5,0)+1</f>
        <v>2</v>
      </c>
      <c r="B3" s="19" t="str">
        <f>"Note " &amp; A3 &amp; " Operating Segments"</f>
        <v>Note 2 Operating Segments</v>
      </c>
      <c r="C3" s="313"/>
      <c r="D3" s="313"/>
      <c r="E3" s="313"/>
      <c r="F3" s="313"/>
      <c r="G3" s="313"/>
    </row>
    <row r="5" spans="1:7" s="20" customFormat="1" ht="12.2" customHeight="1" x14ac:dyDescent="0.25">
      <c r="A5" s="50"/>
      <c r="B5" s="455" t="s">
        <v>1333</v>
      </c>
      <c r="C5" s="455"/>
      <c r="D5" s="455"/>
      <c r="E5" s="455"/>
      <c r="F5" s="455"/>
      <c r="G5" s="455"/>
    </row>
    <row r="6" spans="1:7" s="20" customFormat="1" ht="14.1" customHeight="1" x14ac:dyDescent="0.25">
      <c r="A6" s="50"/>
      <c r="B6" s="349"/>
      <c r="C6" s="349"/>
      <c r="D6" s="349"/>
      <c r="E6" s="349"/>
      <c r="F6" s="349"/>
      <c r="G6" s="349"/>
    </row>
    <row r="7" spans="1:7" s="20" customFormat="1" ht="14.1" customHeight="1" x14ac:dyDescent="0.2">
      <c r="A7" s="50"/>
      <c r="B7" s="357"/>
      <c r="C7" s="456" t="s">
        <v>500</v>
      </c>
      <c r="D7" s="456"/>
      <c r="E7" s="456"/>
      <c r="F7" s="456"/>
      <c r="G7" s="456"/>
    </row>
    <row r="8" spans="1:7" s="20" customFormat="1" ht="14.1" customHeight="1" x14ac:dyDescent="0.25">
      <c r="A8" s="50"/>
      <c r="B8" s="358"/>
      <c r="C8" s="359" t="s">
        <v>1406</v>
      </c>
      <c r="D8" s="359"/>
      <c r="E8" s="359" t="s">
        <v>1407</v>
      </c>
      <c r="F8" s="359"/>
      <c r="G8" s="359" t="s">
        <v>589</v>
      </c>
    </row>
    <row r="9" spans="1:7" s="171" customFormat="1" ht="14.1" customHeight="1" x14ac:dyDescent="0.2">
      <c r="A9" s="50"/>
      <c r="B9" s="360" t="s">
        <v>63</v>
      </c>
      <c r="C9" s="361" t="s">
        <v>502</v>
      </c>
      <c r="D9" s="362"/>
      <c r="E9" s="361" t="s">
        <v>502</v>
      </c>
      <c r="F9" s="361"/>
      <c r="G9" s="363" t="s">
        <v>502</v>
      </c>
    </row>
    <row r="10" spans="1:7" s="20" customFormat="1" ht="14.1" customHeight="1" x14ac:dyDescent="0.2">
      <c r="A10" s="50"/>
      <c r="B10" s="360" t="s">
        <v>1334</v>
      </c>
      <c r="C10" s="364"/>
      <c r="D10" s="364"/>
      <c r="E10" s="365"/>
      <c r="F10" s="365"/>
      <c r="G10" s="366"/>
    </row>
    <row r="11" spans="1:7" s="20" customFormat="1" ht="13.7" customHeight="1" x14ac:dyDescent="0.2">
      <c r="A11" s="50"/>
      <c r="B11" s="356" t="s">
        <v>1335</v>
      </c>
      <c r="C11" s="367">
        <f>+SOCI!D7-E11</f>
        <v>215947</v>
      </c>
      <c r="D11" s="367"/>
      <c r="E11" s="367">
        <v>37032</v>
      </c>
      <c r="F11" s="367"/>
      <c r="G11" s="367">
        <f>+E11+C11</f>
        <v>252979</v>
      </c>
    </row>
    <row r="12" spans="1:7" s="20" customFormat="1" ht="13.7" customHeight="1" x14ac:dyDescent="0.2">
      <c r="A12" s="50"/>
      <c r="B12" s="356" t="s">
        <v>1336</v>
      </c>
      <c r="C12" s="367">
        <f>+SOCI!D8-E12</f>
        <v>28937</v>
      </c>
      <c r="D12" s="367"/>
      <c r="E12" s="367">
        <v>1863</v>
      </c>
      <c r="F12" s="367"/>
      <c r="G12" s="367">
        <f>+E12+C12</f>
        <v>30800</v>
      </c>
    </row>
    <row r="13" spans="1:7" s="20" customFormat="1" ht="13.7" customHeight="1" x14ac:dyDescent="0.2">
      <c r="A13" s="50"/>
      <c r="B13" s="356"/>
      <c r="C13" s="368">
        <f>SUM(C11:C12)</f>
        <v>244884</v>
      </c>
      <c r="D13" s="369"/>
      <c r="E13" s="368">
        <f>SUM(E11:E12)</f>
        <v>38895</v>
      </c>
      <c r="F13" s="370"/>
      <c r="G13" s="368">
        <f>SUM(G11:G12)</f>
        <v>283779</v>
      </c>
    </row>
    <row r="14" spans="1:7" s="20" customFormat="1" ht="13.7" customHeight="1" x14ac:dyDescent="0.2">
      <c r="A14" s="50"/>
      <c r="B14" s="356"/>
      <c r="C14" s="371"/>
      <c r="D14" s="371"/>
      <c r="E14" s="372"/>
      <c r="F14" s="372"/>
      <c r="G14" s="373"/>
    </row>
    <row r="15" spans="1:7" s="20" customFormat="1" ht="13.7" customHeight="1" x14ac:dyDescent="0.2">
      <c r="A15" s="50"/>
      <c r="B15" s="356" t="s">
        <v>1337</v>
      </c>
      <c r="C15" s="367">
        <f>+SOCI!D9+SOCI!D15+SOCI!D16+SOCI!D17-C16-E15</f>
        <v>-231652.56579294044</v>
      </c>
      <c r="D15" s="367"/>
      <c r="E15" s="367">
        <v>-32766</v>
      </c>
      <c r="F15" s="367"/>
      <c r="G15" s="367">
        <f>+E15+C15</f>
        <v>-264418.56579294044</v>
      </c>
    </row>
    <row r="16" spans="1:7" s="20" customFormat="1" ht="14.1" hidden="1" customHeight="1" x14ac:dyDescent="0.2">
      <c r="A16" s="50"/>
      <c r="B16" s="356" t="s">
        <v>1338</v>
      </c>
      <c r="C16" s="367">
        <v>0</v>
      </c>
      <c r="D16" s="367"/>
      <c r="E16" s="367">
        <v>0</v>
      </c>
      <c r="F16" s="367"/>
      <c r="G16" s="367">
        <f>+E16+C16</f>
        <v>0</v>
      </c>
    </row>
    <row r="17" spans="1:7" s="20" customFormat="1" ht="13.7" customHeight="1" x14ac:dyDescent="0.2">
      <c r="A17" s="50"/>
      <c r="B17" s="360" t="s">
        <v>1343</v>
      </c>
      <c r="C17" s="374">
        <f>+C13+C15+C16</f>
        <v>13231.434207059559</v>
      </c>
      <c r="D17" s="375"/>
      <c r="E17" s="374">
        <f>+E13+E15+E16</f>
        <v>6129</v>
      </c>
      <c r="F17" s="375"/>
      <c r="G17" s="374">
        <f>+G13+G15+G16</f>
        <v>19360.434207059559</v>
      </c>
    </row>
    <row r="18" spans="1:7" s="30" customFormat="1" ht="13.7" customHeight="1" x14ac:dyDescent="0.2">
      <c r="A18" s="51"/>
      <c r="B18" s="360"/>
      <c r="C18" s="357"/>
      <c r="D18" s="357"/>
      <c r="E18" s="376"/>
      <c r="F18" s="364"/>
      <c r="G18" s="357"/>
    </row>
    <row r="19" spans="1:7" s="30" customFormat="1" ht="13.7" customHeight="1" x14ac:dyDescent="0.2">
      <c r="A19" s="51"/>
      <c r="B19" s="377"/>
      <c r="C19" s="456" t="s">
        <v>500</v>
      </c>
      <c r="D19" s="456"/>
      <c r="E19" s="456"/>
      <c r="F19" s="456"/>
      <c r="G19" s="456"/>
    </row>
    <row r="20" spans="1:7" s="30" customFormat="1" ht="13.7" customHeight="1" x14ac:dyDescent="0.25">
      <c r="A20" s="51"/>
      <c r="B20" s="378"/>
      <c r="C20" s="379" t="s">
        <v>1339</v>
      </c>
      <c r="D20" s="380"/>
      <c r="E20" s="379" t="s">
        <v>1340</v>
      </c>
      <c r="F20" s="379"/>
      <c r="G20" s="381" t="s">
        <v>589</v>
      </c>
    </row>
    <row r="21" spans="1:7" s="30" customFormat="1" ht="13.7" customHeight="1" x14ac:dyDescent="0.2">
      <c r="A21" s="51"/>
      <c r="B21" s="360" t="s">
        <v>65</v>
      </c>
      <c r="C21" s="361" t="s">
        <v>502</v>
      </c>
      <c r="D21" s="382"/>
      <c r="E21" s="361" t="s">
        <v>502</v>
      </c>
      <c r="F21" s="361"/>
      <c r="G21" s="363" t="s">
        <v>502</v>
      </c>
    </row>
    <row r="22" spans="1:7" s="20" customFormat="1" ht="13.7" customHeight="1" x14ac:dyDescent="0.2">
      <c r="A22" s="50"/>
      <c r="B22" s="383" t="s">
        <v>1334</v>
      </c>
      <c r="C22" s="357"/>
      <c r="D22" s="357"/>
      <c r="E22" s="384"/>
      <c r="F22" s="384"/>
      <c r="G22" s="385"/>
    </row>
    <row r="23" spans="1:7" s="20" customFormat="1" ht="13.7" customHeight="1" x14ac:dyDescent="0.2">
      <c r="A23" s="50"/>
      <c r="B23" s="356" t="s">
        <v>1335</v>
      </c>
      <c r="C23" s="367">
        <v>193560</v>
      </c>
      <c r="D23" s="367"/>
      <c r="E23" s="367">
        <v>24343</v>
      </c>
      <c r="F23" s="367"/>
      <c r="G23" s="367">
        <f>+E23+C23</f>
        <v>217903</v>
      </c>
    </row>
    <row r="24" spans="1:7" s="20" customFormat="1" ht="13.7" customHeight="1" x14ac:dyDescent="0.2">
      <c r="A24" s="50"/>
      <c r="B24" s="356" t="s">
        <v>1336</v>
      </c>
      <c r="C24" s="367">
        <v>24518</v>
      </c>
      <c r="D24" s="367"/>
      <c r="E24" s="367">
        <v>1547</v>
      </c>
      <c r="F24" s="367"/>
      <c r="G24" s="367">
        <f>+E24+C24</f>
        <v>26065</v>
      </c>
    </row>
    <row r="25" spans="1:7" s="20" customFormat="1" ht="13.7" customHeight="1" x14ac:dyDescent="0.2">
      <c r="A25" s="50"/>
      <c r="B25" s="385"/>
      <c r="C25" s="368">
        <f>SUM(C23:C24)</f>
        <v>218078</v>
      </c>
      <c r="D25" s="369"/>
      <c r="E25" s="368">
        <f>SUM(E23:E24)</f>
        <v>25890</v>
      </c>
      <c r="F25" s="370"/>
      <c r="G25" s="368">
        <f>SUM(G23:G24)</f>
        <v>243968</v>
      </c>
    </row>
    <row r="26" spans="1:7" s="20" customFormat="1" ht="13.7" customHeight="1" x14ac:dyDescent="0.2">
      <c r="A26" s="50"/>
      <c r="B26" s="385"/>
      <c r="C26" s="371"/>
      <c r="D26" s="371"/>
      <c r="E26" s="372"/>
      <c r="F26" s="372"/>
      <c r="G26" s="373"/>
    </row>
    <row r="27" spans="1:7" s="20" customFormat="1" ht="13.7" customHeight="1" x14ac:dyDescent="0.2">
      <c r="A27" s="50"/>
      <c r="B27" s="356" t="s">
        <v>1337</v>
      </c>
      <c r="C27" s="367">
        <v>-210432</v>
      </c>
      <c r="D27" s="367"/>
      <c r="E27" s="367">
        <v>-27145</v>
      </c>
      <c r="F27" s="367"/>
      <c r="G27" s="367">
        <f>+E27+C27</f>
        <v>-237577</v>
      </c>
    </row>
    <row r="28" spans="1:7" s="20" customFormat="1" ht="13.7" customHeight="1" x14ac:dyDescent="0.2">
      <c r="A28" s="50"/>
      <c r="B28" s="356" t="s">
        <v>1338</v>
      </c>
      <c r="C28" s="367">
        <v>-1017</v>
      </c>
      <c r="D28" s="367"/>
      <c r="E28" s="367">
        <v>0</v>
      </c>
      <c r="F28" s="367"/>
      <c r="G28" s="367">
        <f>+E28+C28</f>
        <v>-1017</v>
      </c>
    </row>
    <row r="29" spans="1:7" s="20" customFormat="1" ht="13.7" customHeight="1" x14ac:dyDescent="0.2">
      <c r="A29" s="50"/>
      <c r="B29" s="360" t="s">
        <v>1458</v>
      </c>
      <c r="C29" s="374">
        <f>+C25+C27+C28</f>
        <v>6629</v>
      </c>
      <c r="D29" s="375"/>
      <c r="E29" s="374">
        <f>+E25+E27+E28</f>
        <v>-1255</v>
      </c>
      <c r="F29" s="375"/>
      <c r="G29" s="374">
        <f>+G25+G27+G28</f>
        <v>5374</v>
      </c>
    </row>
    <row r="30" spans="1:7" s="20" customFormat="1" ht="13.7" customHeight="1" x14ac:dyDescent="0.2">
      <c r="A30" s="50"/>
      <c r="B30" s="385"/>
      <c r="C30" s="385"/>
      <c r="D30" s="385"/>
      <c r="E30" s="363"/>
      <c r="F30" s="363"/>
      <c r="G30" s="385"/>
    </row>
    <row r="31" spans="1:7" s="20" customFormat="1" ht="13.7" customHeight="1" x14ac:dyDescent="0.2">
      <c r="A31" s="50"/>
      <c r="B31" s="357"/>
      <c r="C31" s="357"/>
      <c r="D31" s="357"/>
      <c r="E31" s="364"/>
      <c r="F31" s="364"/>
      <c r="G31" s="357"/>
    </row>
    <row r="32" spans="1:7" s="20" customFormat="1" ht="97.5" customHeight="1" x14ac:dyDescent="0.25">
      <c r="A32" s="50"/>
      <c r="B32" s="457" t="s">
        <v>1453</v>
      </c>
      <c r="C32" s="457"/>
      <c r="D32" s="457"/>
      <c r="E32" s="457"/>
      <c r="F32" s="457"/>
      <c r="G32" s="457"/>
    </row>
    <row r="33" spans="1:7" s="20" customFormat="1" ht="14.1" customHeight="1" x14ac:dyDescent="0.2">
      <c r="A33" s="50"/>
      <c r="B33" s="246"/>
      <c r="C33" s="246"/>
      <c r="D33" s="246"/>
      <c r="E33" s="246"/>
      <c r="F33" s="246"/>
      <c r="G33" s="246"/>
    </row>
    <row r="34" spans="1:7" s="20" customFormat="1" ht="42" customHeight="1" x14ac:dyDescent="0.25">
      <c r="A34" s="50"/>
      <c r="B34" s="457"/>
      <c r="C34" s="457"/>
      <c r="D34" s="457"/>
      <c r="E34" s="457"/>
      <c r="F34" s="457"/>
      <c r="G34" s="457"/>
    </row>
    <row r="35" spans="1:7" s="20" customFormat="1" ht="14.1" customHeight="1" x14ac:dyDescent="0.2">
      <c r="A35" s="50"/>
      <c r="B35" s="246"/>
      <c r="C35" s="246"/>
      <c r="D35" s="246"/>
      <c r="E35" s="246"/>
      <c r="F35" s="246"/>
      <c r="G35" s="246"/>
    </row>
    <row r="36" spans="1:7" s="171" customFormat="1" ht="14.1" customHeight="1" x14ac:dyDescent="0.25">
      <c r="A36" s="50"/>
      <c r="B36" s="208"/>
      <c r="C36" s="208"/>
      <c r="D36" s="208"/>
      <c r="E36" s="208"/>
      <c r="F36" s="208"/>
      <c r="G36" s="208"/>
    </row>
    <row r="37" spans="1:7" s="171" customFormat="1" ht="14.1" customHeight="1" x14ac:dyDescent="0.25">
      <c r="A37" s="50"/>
      <c r="B37" s="208"/>
      <c r="C37" s="208"/>
      <c r="D37" s="208"/>
      <c r="E37" s="208"/>
      <c r="F37" s="208"/>
      <c r="G37" s="208"/>
    </row>
    <row r="38" spans="1:7" s="20" customFormat="1" ht="14.1" customHeight="1" x14ac:dyDescent="0.25">
      <c r="A38" s="50"/>
      <c r="B38" s="208"/>
      <c r="C38" s="208"/>
      <c r="D38" s="208"/>
      <c r="E38" s="208"/>
      <c r="F38" s="208"/>
      <c r="G38" s="208"/>
    </row>
    <row r="39" spans="1:7" s="20" customFormat="1" ht="14.1" customHeight="1" x14ac:dyDescent="0.25">
      <c r="A39" s="50"/>
      <c r="B39" s="208"/>
      <c r="C39" s="208"/>
      <c r="D39" s="208"/>
      <c r="E39" s="208"/>
      <c r="F39" s="208"/>
      <c r="G39" s="208"/>
    </row>
    <row r="40" spans="1:7" s="20" customFormat="1" ht="14.1" customHeight="1" x14ac:dyDescent="0.25">
      <c r="A40" s="50"/>
      <c r="B40" s="208"/>
      <c r="C40" s="208"/>
      <c r="D40" s="208"/>
      <c r="E40" s="208"/>
      <c r="F40" s="208"/>
      <c r="G40" s="208"/>
    </row>
    <row r="41" spans="1:7" s="20" customFormat="1" ht="14.1" customHeight="1" x14ac:dyDescent="0.25">
      <c r="A41" s="50"/>
      <c r="B41" s="208"/>
      <c r="C41" s="208"/>
      <c r="D41" s="208"/>
      <c r="E41" s="208"/>
      <c r="F41" s="208"/>
      <c r="G41" s="208"/>
    </row>
    <row r="42" spans="1:7" s="20" customFormat="1" ht="14.1" customHeight="1" x14ac:dyDescent="0.25">
      <c r="A42" s="50"/>
      <c r="B42" s="171"/>
      <c r="C42" s="171"/>
      <c r="D42" s="171"/>
      <c r="E42" s="171"/>
      <c r="F42" s="171"/>
      <c r="G42" s="171"/>
    </row>
    <row r="43" spans="1:7" s="20" customFormat="1" ht="14.1" customHeight="1" x14ac:dyDescent="0.25">
      <c r="A43" s="50"/>
      <c r="B43" s="454"/>
      <c r="C43" s="454"/>
      <c r="D43" s="454"/>
      <c r="E43" s="454"/>
      <c r="F43" s="454"/>
      <c r="G43" s="454"/>
    </row>
    <row r="44" spans="1:7" s="20" customFormat="1" ht="14.1" customHeight="1" x14ac:dyDescent="0.25">
      <c r="A44" s="50"/>
      <c r="B44" s="454"/>
      <c r="C44" s="454"/>
      <c r="D44" s="454"/>
      <c r="E44" s="454"/>
      <c r="F44" s="454"/>
      <c r="G44" s="454"/>
    </row>
    <row r="45" spans="1:7" s="20" customFormat="1" ht="14.1" customHeight="1" x14ac:dyDescent="0.25">
      <c r="A45" s="50"/>
      <c r="B45" s="454"/>
      <c r="C45" s="454"/>
      <c r="D45" s="454"/>
      <c r="E45" s="454"/>
      <c r="F45" s="454"/>
      <c r="G45" s="454"/>
    </row>
    <row r="46" spans="1:7" s="20" customFormat="1" ht="14.1" customHeight="1" x14ac:dyDescent="0.25">
      <c r="A46" s="50"/>
      <c r="B46" s="454"/>
      <c r="C46" s="454"/>
      <c r="D46" s="454"/>
      <c r="E46" s="454"/>
      <c r="F46" s="454"/>
      <c r="G46" s="454"/>
    </row>
    <row r="47" spans="1:7" s="20" customFormat="1" ht="14.1" customHeight="1" x14ac:dyDescent="0.25">
      <c r="A47" s="50"/>
      <c r="B47" s="158"/>
      <c r="C47" s="158"/>
      <c r="D47" s="158"/>
      <c r="E47" s="158"/>
      <c r="F47" s="158"/>
      <c r="G47" s="158"/>
    </row>
    <row r="48" spans="1:7" s="20" customFormat="1" ht="14.1" customHeight="1" x14ac:dyDescent="0.25">
      <c r="A48" s="50"/>
      <c r="B48" s="171"/>
      <c r="C48" s="171"/>
      <c r="D48" s="171"/>
      <c r="E48" s="171"/>
      <c r="F48" s="171"/>
      <c r="G48" s="171"/>
    </row>
    <row r="49" spans="1:7" s="20" customFormat="1" ht="14.1" customHeight="1" x14ac:dyDescent="0.25">
      <c r="A49" s="50"/>
      <c r="B49" s="171"/>
      <c r="C49" s="171"/>
      <c r="D49" s="171"/>
      <c r="E49" s="171"/>
      <c r="F49" s="171"/>
      <c r="G49" s="171"/>
    </row>
    <row r="50" spans="1:7" s="20" customFormat="1" ht="14.1" customHeight="1" x14ac:dyDescent="0.25">
      <c r="A50" s="50"/>
      <c r="B50" s="171"/>
      <c r="C50" s="171"/>
      <c r="D50" s="171"/>
      <c r="E50" s="171"/>
      <c r="F50" s="171"/>
      <c r="G50" s="171"/>
    </row>
    <row r="51" spans="1:7" s="20" customFormat="1" ht="14.1" customHeight="1" x14ac:dyDescent="0.25">
      <c r="A51" s="50"/>
      <c r="B51" s="171"/>
      <c r="C51" s="171"/>
      <c r="D51" s="171"/>
      <c r="E51" s="171"/>
      <c r="F51" s="171"/>
      <c r="G51" s="171"/>
    </row>
    <row r="52" spans="1:7" s="20" customFormat="1" ht="14.1" customHeight="1" x14ac:dyDescent="0.25">
      <c r="A52" s="50"/>
      <c r="B52" s="171"/>
      <c r="C52" s="171"/>
      <c r="D52" s="171"/>
      <c r="E52" s="171"/>
      <c r="F52" s="171"/>
      <c r="G52" s="171"/>
    </row>
    <row r="53" spans="1:7" s="20" customFormat="1" ht="14.1" customHeight="1" x14ac:dyDescent="0.25">
      <c r="A53" s="50"/>
      <c r="B53" s="171"/>
      <c r="C53" s="171"/>
      <c r="D53" s="171"/>
      <c r="E53" s="171"/>
      <c r="F53" s="171"/>
      <c r="G53" s="171"/>
    </row>
    <row r="54" spans="1:7" s="20" customFormat="1" ht="14.1" customHeight="1" x14ac:dyDescent="0.25">
      <c r="A54" s="50"/>
      <c r="B54" s="171"/>
      <c r="C54" s="171"/>
      <c r="D54" s="171"/>
      <c r="E54" s="171"/>
      <c r="F54" s="171"/>
      <c r="G54" s="171"/>
    </row>
    <row r="55" spans="1:7" s="20" customFormat="1" ht="14.1" customHeight="1" x14ac:dyDescent="0.25">
      <c r="A55" s="50"/>
      <c r="B55" s="171"/>
      <c r="C55" s="171"/>
      <c r="D55" s="171"/>
      <c r="E55" s="171"/>
      <c r="F55" s="171"/>
      <c r="G55" s="171"/>
    </row>
    <row r="56" spans="1:7" s="20" customFormat="1" ht="14.1" customHeight="1" x14ac:dyDescent="0.25">
      <c r="A56" s="50"/>
      <c r="B56" s="171"/>
      <c r="C56" s="171"/>
      <c r="D56" s="171"/>
      <c r="E56" s="171"/>
      <c r="F56" s="171"/>
      <c r="G56" s="171"/>
    </row>
    <row r="57" spans="1:7" s="20" customFormat="1" ht="14.1" customHeight="1" x14ac:dyDescent="0.25">
      <c r="A57" s="50"/>
      <c r="B57" s="171"/>
      <c r="C57" s="171"/>
      <c r="D57" s="171"/>
      <c r="E57" s="171"/>
      <c r="F57" s="171"/>
      <c r="G57" s="171"/>
    </row>
    <row r="58" spans="1:7" s="20" customFormat="1" ht="14.1" customHeight="1" x14ac:dyDescent="0.25">
      <c r="A58" s="50"/>
      <c r="B58" s="171"/>
      <c r="C58" s="171"/>
      <c r="D58" s="171"/>
      <c r="E58" s="171"/>
      <c r="F58" s="171"/>
      <c r="G58" s="171"/>
    </row>
    <row r="59" spans="1:7" s="20" customFormat="1" ht="14.1" customHeight="1" x14ac:dyDescent="0.25">
      <c r="A59" s="50"/>
      <c r="B59" s="171"/>
      <c r="C59" s="171"/>
      <c r="D59" s="171"/>
      <c r="E59" s="171"/>
      <c r="F59" s="171"/>
      <c r="G59" s="171"/>
    </row>
    <row r="60" spans="1:7" s="20" customFormat="1" ht="14.1" customHeight="1" x14ac:dyDescent="0.25">
      <c r="A60" s="50"/>
      <c r="B60" s="171"/>
      <c r="C60" s="171"/>
      <c r="D60" s="171"/>
      <c r="E60" s="171"/>
      <c r="F60" s="171"/>
      <c r="G60" s="171"/>
    </row>
    <row r="61" spans="1:7" s="20" customFormat="1" ht="14.1" customHeight="1" x14ac:dyDescent="0.25">
      <c r="A61" s="50"/>
      <c r="B61" s="171"/>
      <c r="C61" s="171"/>
      <c r="D61" s="171"/>
      <c r="E61" s="171"/>
      <c r="F61" s="171"/>
      <c r="G61" s="171"/>
    </row>
    <row r="62" spans="1:7" s="20" customFormat="1" ht="14.1" customHeight="1" x14ac:dyDescent="0.25">
      <c r="A62" s="50"/>
      <c r="B62" s="171"/>
      <c r="C62" s="171"/>
      <c r="D62" s="171"/>
      <c r="E62" s="171"/>
      <c r="F62" s="171"/>
      <c r="G62" s="171"/>
    </row>
    <row r="63" spans="1:7" s="20" customFormat="1" ht="14.1" customHeight="1" x14ac:dyDescent="0.25">
      <c r="A63" s="50"/>
    </row>
    <row r="64" spans="1:7" s="20" customFormat="1" ht="14.1" customHeight="1" x14ac:dyDescent="0.25">
      <c r="A64" s="50"/>
    </row>
    <row r="65" spans="1:1" s="20" customFormat="1" ht="14.1" customHeight="1" x14ac:dyDescent="0.25">
      <c r="A65" s="50"/>
    </row>
    <row r="66" spans="1:1" s="20" customFormat="1" ht="14.1" customHeight="1" x14ac:dyDescent="0.25">
      <c r="A66" s="50"/>
    </row>
    <row r="67" spans="1:1" s="20" customFormat="1" ht="14.1" customHeight="1" x14ac:dyDescent="0.25">
      <c r="A67" s="50"/>
    </row>
    <row r="68" spans="1:1" s="20" customFormat="1" ht="14.1" customHeight="1" x14ac:dyDescent="0.25">
      <c r="A68" s="50"/>
    </row>
    <row r="69" spans="1:1" s="20" customFormat="1" ht="14.1" customHeight="1" x14ac:dyDescent="0.25">
      <c r="A69" s="50"/>
    </row>
    <row r="70" spans="1:1" s="20" customFormat="1" ht="14.1" customHeight="1" x14ac:dyDescent="0.25">
      <c r="A70" s="50"/>
    </row>
    <row r="71" spans="1:1" s="20" customFormat="1" ht="14.1" customHeight="1" x14ac:dyDescent="0.25">
      <c r="A71" s="50"/>
    </row>
    <row r="72" spans="1:1" s="20" customFormat="1" ht="14.1" customHeight="1" x14ac:dyDescent="0.25">
      <c r="A72" s="50"/>
    </row>
    <row r="73" spans="1:1" s="20" customFormat="1" ht="14.1" customHeight="1" x14ac:dyDescent="0.25">
      <c r="A73" s="50"/>
    </row>
    <row r="74" spans="1:1" s="20" customFormat="1" ht="14.1" customHeight="1" x14ac:dyDescent="0.25">
      <c r="A74" s="50"/>
    </row>
    <row r="75" spans="1:1" s="20" customFormat="1" ht="14.1" customHeight="1" x14ac:dyDescent="0.25">
      <c r="A75" s="50"/>
    </row>
    <row r="76" spans="1:1" s="20" customFormat="1" ht="14.1" customHeight="1" x14ac:dyDescent="0.25">
      <c r="A76" s="50"/>
    </row>
    <row r="77" spans="1:1" s="20" customFormat="1" ht="14.1" customHeight="1" x14ac:dyDescent="0.25">
      <c r="A77" s="50"/>
    </row>
    <row r="78" spans="1:1" s="20" customFormat="1" ht="14.1" customHeight="1" x14ac:dyDescent="0.25">
      <c r="A78" s="50"/>
    </row>
    <row r="79" spans="1:1" s="20" customFormat="1" ht="14.1" customHeight="1" x14ac:dyDescent="0.25">
      <c r="A79" s="50"/>
    </row>
    <row r="80" spans="1:1" s="20" customFormat="1" ht="14.1" customHeight="1" x14ac:dyDescent="0.25">
      <c r="A80" s="50"/>
    </row>
    <row r="81" spans="1:1" s="20" customFormat="1" ht="14.1" customHeight="1" x14ac:dyDescent="0.25">
      <c r="A81" s="50"/>
    </row>
    <row r="82" spans="1:1" s="20" customFormat="1" ht="14.1" customHeight="1" x14ac:dyDescent="0.25">
      <c r="A82" s="50"/>
    </row>
    <row r="83" spans="1:1" s="20" customFormat="1" ht="14.1" customHeight="1" x14ac:dyDescent="0.25">
      <c r="A83" s="50"/>
    </row>
    <row r="84" spans="1:1" s="20" customFormat="1" ht="14.1" customHeight="1" x14ac:dyDescent="0.25">
      <c r="A84" s="50"/>
    </row>
    <row r="85" spans="1:1" s="20" customFormat="1" ht="14.1" customHeight="1" x14ac:dyDescent="0.25">
      <c r="A85" s="50"/>
    </row>
    <row r="86" spans="1:1" s="20" customFormat="1" ht="14.1" customHeight="1" x14ac:dyDescent="0.25">
      <c r="A86" s="50"/>
    </row>
    <row r="87" spans="1:1" s="20" customFormat="1" ht="14.1" customHeight="1" x14ac:dyDescent="0.25">
      <c r="A87" s="50"/>
    </row>
    <row r="88" spans="1:1" s="20" customFormat="1" ht="14.1" customHeight="1" x14ac:dyDescent="0.25">
      <c r="A88" s="50"/>
    </row>
    <row r="89" spans="1:1" s="20" customFormat="1" ht="14.1" customHeight="1" x14ac:dyDescent="0.25">
      <c r="A89" s="50"/>
    </row>
    <row r="90" spans="1:1" s="20" customFormat="1" ht="14.1" customHeight="1" x14ac:dyDescent="0.25">
      <c r="A90" s="50"/>
    </row>
    <row r="91" spans="1:1" s="20" customFormat="1" ht="14.1" customHeight="1" x14ac:dyDescent="0.25">
      <c r="A91" s="50"/>
    </row>
  </sheetData>
  <customSheetViews>
    <customSheetView guid="{EDC1BD6E-863A-4FC6-A3A9-F32079F4F0C1}" topLeftCell="A3">
      <selection activeCell="L48" sqref="L48"/>
      <pageMargins left="0" right="0" top="0" bottom="0" header="0" footer="0"/>
      <pageSetup paperSize="9" orientation="portrait" verticalDpi="0" r:id="rId1"/>
      <headerFooter>
        <oddHeader>&amp;LINSERT YOUR NHS Foundation Trust&amp;RStatement of accounts 2014/15</oddHeader>
      </headerFooter>
    </customSheetView>
  </customSheetViews>
  <mergeCells count="6">
    <mergeCell ref="B43:G46"/>
    <mergeCell ref="B5:G5"/>
    <mergeCell ref="C7:G7"/>
    <mergeCell ref="B32:G32"/>
    <mergeCell ref="B34:G34"/>
    <mergeCell ref="C19:G19"/>
  </mergeCells>
  <pageMargins left="0.70866141732283472" right="0.70866141732283472" top="0.74803149606299213" bottom="0.74803149606299213" header="0.31496062992125984" footer="0.31496062992125984"/>
  <pageSetup paperSize="9" scale="98" orientation="portrait" verticalDpi="0" r:id="rId2"/>
  <headerFooter>
    <oddFooter>&amp;RPage &amp;P of &amp;N</oddFooter>
  </headerFooter>
  <ignoredErrors>
    <ignoredError sqref="C9:G9 C21:G2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sheetPr>
  <dimension ref="A1:F254"/>
  <sheetViews>
    <sheetView showGridLines="0" zoomScale="90" zoomScaleNormal="90" workbookViewId="0">
      <selection activeCell="B3" sqref="B3"/>
    </sheetView>
  </sheetViews>
  <sheetFormatPr defaultColWidth="9.140625" defaultRowHeight="12.75" x14ac:dyDescent="0.2"/>
  <cols>
    <col min="1" max="1" width="3.140625" style="5" customWidth="1"/>
    <col min="2" max="2" width="43.7109375" style="3" customWidth="1"/>
    <col min="3" max="3" width="40" style="3" customWidth="1"/>
    <col min="4" max="4" width="11.7109375" style="3" bestFit="1" customWidth="1"/>
    <col min="5" max="6" width="9.140625" style="3"/>
    <col min="7" max="16384" width="9.140625" style="5"/>
  </cols>
  <sheetData>
    <row r="1" spans="1:6" x14ac:dyDescent="0.2">
      <c r="A1" s="350" t="s">
        <v>1310</v>
      </c>
      <c r="B1" s="351"/>
      <c r="C1" s="351"/>
      <c r="D1" s="351"/>
      <c r="E1" s="351"/>
      <c r="F1" s="351"/>
    </row>
    <row r="2" spans="1:6" x14ac:dyDescent="0.2">
      <c r="B2" s="222"/>
      <c r="C2" s="222"/>
      <c r="D2" s="222"/>
      <c r="E2" s="222"/>
      <c r="F2" s="222"/>
    </row>
    <row r="4" spans="1:6" ht="24" customHeight="1" x14ac:dyDescent="0.35">
      <c r="B4" s="439" t="s">
        <v>0</v>
      </c>
      <c r="C4" s="439"/>
      <c r="D4" s="222"/>
      <c r="E4" s="222"/>
      <c r="F4" s="222"/>
    </row>
    <row r="6" spans="1:6" ht="14.25" x14ac:dyDescent="0.2">
      <c r="B6" s="66" t="s">
        <v>52</v>
      </c>
      <c r="C6" s="98"/>
      <c r="D6" s="222"/>
      <c r="E6" s="222"/>
      <c r="F6" s="222"/>
    </row>
    <row r="7" spans="1:6" ht="13.5" thickBot="1" x14ac:dyDescent="0.25">
      <c r="B7" s="222"/>
      <c r="C7" s="222"/>
      <c r="D7" s="222"/>
      <c r="E7" s="222"/>
      <c r="F7" s="222"/>
    </row>
    <row r="8" spans="1:6" ht="13.5" thickBot="1" x14ac:dyDescent="0.25">
      <c r="B8" s="222" t="s">
        <v>53</v>
      </c>
      <c r="C8" s="237" t="s">
        <v>294</v>
      </c>
      <c r="D8" s="222"/>
      <c r="E8" s="222"/>
      <c r="F8" s="222"/>
    </row>
    <row r="9" spans="1:6" ht="27.75" customHeight="1" thickBot="1" x14ac:dyDescent="0.25">
      <c r="B9" s="222" t="s">
        <v>55</v>
      </c>
      <c r="C9" s="107" t="str">
        <f>VLOOKUP(C8,B38:D253,2,FALSE)</f>
        <v>Moorfields Eye Hospital NHS Foundation Trust</v>
      </c>
      <c r="D9" s="222"/>
      <c r="E9" s="222"/>
      <c r="F9" s="222"/>
    </row>
    <row r="10" spans="1:6" ht="13.7" customHeight="1" thickBot="1" x14ac:dyDescent="0.25">
      <c r="B10" s="222" t="s">
        <v>56</v>
      </c>
      <c r="C10" s="107" t="str">
        <f>VLOOKUP(C8,B38:D253,3,FALSE)</f>
        <v>FT</v>
      </c>
      <c r="D10" s="222"/>
      <c r="E10" s="222"/>
      <c r="F10" s="222"/>
    </row>
    <row r="11" spans="1:6" ht="13.5" thickBot="1" x14ac:dyDescent="0.25">
      <c r="B11" s="222"/>
      <c r="C11" s="222"/>
      <c r="D11" s="222"/>
      <c r="E11" s="222"/>
      <c r="F11" s="222"/>
    </row>
    <row r="12" spans="1:6" ht="13.5" thickBot="1" x14ac:dyDescent="0.25">
      <c r="B12" s="222" t="s">
        <v>57</v>
      </c>
      <c r="C12" s="106">
        <v>44651</v>
      </c>
      <c r="D12" s="222"/>
      <c r="E12" s="222"/>
      <c r="F12" s="222"/>
    </row>
    <row r="13" spans="1:6" ht="13.5" thickBot="1" x14ac:dyDescent="0.25">
      <c r="B13" s="222" t="s">
        <v>58</v>
      </c>
      <c r="C13" s="106">
        <v>44287</v>
      </c>
      <c r="D13" s="68" t="s">
        <v>59</v>
      </c>
      <c r="E13" s="222"/>
      <c r="F13" s="222"/>
    </row>
    <row r="14" spans="1:6" ht="13.5" thickBot="1" x14ac:dyDescent="0.25">
      <c r="B14" s="222" t="s">
        <v>60</v>
      </c>
      <c r="C14" s="106">
        <v>44286</v>
      </c>
      <c r="D14" s="68" t="s">
        <v>59</v>
      </c>
      <c r="E14" s="222"/>
      <c r="F14" s="222"/>
    </row>
    <row r="15" spans="1:6" ht="13.5" thickBot="1" x14ac:dyDescent="0.25">
      <c r="B15" s="222" t="s">
        <v>61</v>
      </c>
      <c r="C15" s="106">
        <v>43922</v>
      </c>
      <c r="D15" s="222"/>
      <c r="E15" s="222"/>
      <c r="F15" s="222"/>
    </row>
    <row r="16" spans="1:6" ht="13.5" thickBot="1" x14ac:dyDescent="0.25">
      <c r="B16" s="52"/>
      <c r="C16" s="222"/>
      <c r="D16" s="222"/>
      <c r="E16" s="222"/>
      <c r="F16" s="222"/>
    </row>
    <row r="17" spans="2:6" ht="13.5" thickBot="1" x14ac:dyDescent="0.25">
      <c r="B17" s="52" t="s">
        <v>62</v>
      </c>
      <c r="C17" s="106" t="s">
        <v>63</v>
      </c>
      <c r="D17" s="222"/>
      <c r="E17" s="222"/>
      <c r="F17" s="222"/>
    </row>
    <row r="18" spans="2:6" ht="13.5" thickBot="1" x14ac:dyDescent="0.25">
      <c r="B18" s="52" t="s">
        <v>64</v>
      </c>
      <c r="C18" s="106" t="s">
        <v>65</v>
      </c>
      <c r="D18" s="222"/>
      <c r="E18" s="222"/>
      <c r="F18" s="222"/>
    </row>
    <row r="19" spans="2:6" ht="13.5" thickBot="1" x14ac:dyDescent="0.25">
      <c r="B19" s="52"/>
      <c r="C19" s="222"/>
      <c r="D19" s="222"/>
      <c r="E19" s="222"/>
      <c r="F19" s="222"/>
    </row>
    <row r="20" spans="2:6" ht="13.5" thickBot="1" x14ac:dyDescent="0.25">
      <c r="B20" s="52" t="s">
        <v>66</v>
      </c>
      <c r="C20" s="67" t="s">
        <v>67</v>
      </c>
      <c r="D20" s="222"/>
      <c r="E20" s="222"/>
      <c r="F20" s="222"/>
    </row>
    <row r="21" spans="2:6" ht="13.5" thickBot="1" x14ac:dyDescent="0.25">
      <c r="B21" s="52" t="s">
        <v>68</v>
      </c>
      <c r="C21" s="67" t="s">
        <v>69</v>
      </c>
      <c r="D21" s="68" t="s">
        <v>70</v>
      </c>
      <c r="E21" s="222"/>
      <c r="F21" s="222"/>
    </row>
    <row r="22" spans="2:6" ht="13.5" thickBot="1" x14ac:dyDescent="0.25">
      <c r="B22" s="52" t="s">
        <v>71</v>
      </c>
      <c r="C22" s="67" t="s">
        <v>72</v>
      </c>
      <c r="D22" s="222"/>
      <c r="E22" s="222"/>
      <c r="F22" s="222"/>
    </row>
    <row r="23" spans="2:6" ht="13.5" thickBot="1" x14ac:dyDescent="0.25">
      <c r="B23" s="222"/>
      <c r="C23" s="222"/>
      <c r="D23" s="222"/>
      <c r="E23" s="222"/>
      <c r="F23" s="222"/>
    </row>
    <row r="24" spans="2:6" ht="13.5" thickBot="1" x14ac:dyDescent="0.25">
      <c r="B24" s="222" t="s">
        <v>73</v>
      </c>
      <c r="C24" s="67" t="s">
        <v>74</v>
      </c>
      <c r="D24" s="222"/>
      <c r="E24" s="222"/>
      <c r="F24" s="222"/>
    </row>
    <row r="25" spans="2:6" ht="13.5" thickBot="1" x14ac:dyDescent="0.25">
      <c r="B25" s="222"/>
      <c r="C25" s="222"/>
      <c r="D25" s="222"/>
      <c r="E25" s="222"/>
      <c r="F25" s="222"/>
    </row>
    <row r="26" spans="2:6" ht="13.5" thickBot="1" x14ac:dyDescent="0.25">
      <c r="B26" s="222" t="s">
        <v>75</v>
      </c>
      <c r="C26" s="105" t="s">
        <v>1309</v>
      </c>
      <c r="D26" s="68" t="s">
        <v>76</v>
      </c>
      <c r="E26" s="222"/>
      <c r="F26" s="222"/>
    </row>
    <row r="28" spans="2:6" ht="61.5" customHeight="1" x14ac:dyDescent="0.2">
      <c r="B28" s="438" t="s">
        <v>77</v>
      </c>
      <c r="C28" s="438"/>
      <c r="D28" s="222"/>
      <c r="E28" s="5"/>
      <c r="F28" s="5"/>
    </row>
    <row r="29" spans="2:6" x14ac:dyDescent="0.2">
      <c r="B29" s="69"/>
      <c r="C29" s="222"/>
      <c r="D29" s="222"/>
      <c r="E29" s="222"/>
      <c r="F29" s="222"/>
    </row>
    <row r="30" spans="2:6" x14ac:dyDescent="0.2">
      <c r="B30" s="85" t="s">
        <v>78</v>
      </c>
      <c r="C30" s="222"/>
      <c r="D30" s="222"/>
      <c r="E30" s="222"/>
      <c r="F30" s="222"/>
    </row>
    <row r="32" spans="2:6" x14ac:dyDescent="0.2">
      <c r="B32" s="222"/>
      <c r="C32" s="222"/>
      <c r="D32" s="222"/>
      <c r="E32" s="222"/>
      <c r="F32" s="222"/>
    </row>
    <row r="33" spans="2:6" x14ac:dyDescent="0.2">
      <c r="B33" s="222"/>
      <c r="C33" s="222"/>
      <c r="D33" s="222"/>
      <c r="E33" s="222"/>
      <c r="F33" s="222"/>
    </row>
    <row r="34" spans="2:6" x14ac:dyDescent="0.2">
      <c r="B34" s="222"/>
      <c r="C34" s="222"/>
      <c r="D34" s="222"/>
      <c r="E34" s="222"/>
      <c r="F34" s="222"/>
    </row>
    <row r="35" spans="2:6" x14ac:dyDescent="0.2">
      <c r="B35" s="222"/>
      <c r="C35" s="222"/>
      <c r="D35" s="222"/>
      <c r="E35" s="222"/>
      <c r="F35" s="222"/>
    </row>
    <row r="36" spans="2:6" hidden="1" x14ac:dyDescent="0.2">
      <c r="B36" s="222"/>
      <c r="C36" s="222"/>
      <c r="D36" s="222"/>
      <c r="E36" s="222"/>
      <c r="F36" s="222"/>
    </row>
    <row r="37" spans="2:6" ht="13.5" hidden="1" thickBot="1" x14ac:dyDescent="0.25">
      <c r="B37" s="70" t="s">
        <v>53</v>
      </c>
      <c r="C37" s="71" t="s">
        <v>79</v>
      </c>
      <c r="D37" s="71" t="s">
        <v>80</v>
      </c>
      <c r="E37" s="222"/>
      <c r="F37" s="222"/>
    </row>
    <row r="38" spans="2:6" ht="13.5" hidden="1" thickTop="1" x14ac:dyDescent="0.2">
      <c r="B38" s="72" t="s">
        <v>54</v>
      </c>
      <c r="C38" s="74" t="s">
        <v>81</v>
      </c>
      <c r="D38" s="73"/>
      <c r="E38" s="52"/>
      <c r="F38" s="74"/>
    </row>
    <row r="39" spans="2:6" hidden="1" x14ac:dyDescent="0.2">
      <c r="B39" s="78" t="s">
        <v>82</v>
      </c>
      <c r="C39" s="77" t="s">
        <v>1262</v>
      </c>
      <c r="D39" s="223" t="s">
        <v>83</v>
      </c>
      <c r="E39" s="52"/>
      <c r="F39" s="77"/>
    </row>
    <row r="40" spans="2:6" hidden="1" x14ac:dyDescent="0.2">
      <c r="B40" s="78" t="s">
        <v>84</v>
      </c>
      <c r="C40" s="77" t="s">
        <v>85</v>
      </c>
      <c r="D40" s="223" t="s">
        <v>83</v>
      </c>
      <c r="E40" s="52"/>
      <c r="F40" s="77"/>
    </row>
    <row r="41" spans="2:6" hidden="1" x14ac:dyDescent="0.2">
      <c r="B41" s="75" t="s">
        <v>86</v>
      </c>
      <c r="C41" s="77" t="s">
        <v>87</v>
      </c>
      <c r="D41" s="76" t="s">
        <v>83</v>
      </c>
      <c r="E41" s="52"/>
      <c r="F41" s="77"/>
    </row>
    <row r="42" spans="2:6" hidden="1" x14ac:dyDescent="0.2">
      <c r="B42" s="78" t="s">
        <v>88</v>
      </c>
      <c r="C42" s="77" t="s">
        <v>89</v>
      </c>
      <c r="D42" s="223" t="s">
        <v>83</v>
      </c>
      <c r="E42" s="52"/>
      <c r="F42" s="77"/>
    </row>
    <row r="43" spans="2:6" hidden="1" x14ac:dyDescent="0.2">
      <c r="B43" s="78" t="s">
        <v>90</v>
      </c>
      <c r="C43" s="77" t="s">
        <v>91</v>
      </c>
      <c r="D43" s="223" t="s">
        <v>83</v>
      </c>
      <c r="E43" s="52"/>
      <c r="F43" s="77"/>
    </row>
    <row r="44" spans="2:6" hidden="1" x14ac:dyDescent="0.2">
      <c r="B44" s="78" t="s">
        <v>92</v>
      </c>
      <c r="C44" s="77" t="s">
        <v>93</v>
      </c>
      <c r="D44" s="307" t="s">
        <v>1263</v>
      </c>
      <c r="E44" s="52"/>
      <c r="F44" s="77"/>
    </row>
    <row r="45" spans="2:6" hidden="1" x14ac:dyDescent="0.2">
      <c r="B45" s="78" t="s">
        <v>95</v>
      </c>
      <c r="C45" s="77" t="s">
        <v>96</v>
      </c>
      <c r="D45" s="307" t="s">
        <v>1263</v>
      </c>
      <c r="E45" s="52"/>
      <c r="F45" s="77"/>
    </row>
    <row r="46" spans="2:6" hidden="1" x14ac:dyDescent="0.2">
      <c r="B46" s="78" t="s">
        <v>97</v>
      </c>
      <c r="C46" s="77" t="s">
        <v>98</v>
      </c>
      <c r="D46" s="307" t="s">
        <v>1263</v>
      </c>
      <c r="E46" s="52"/>
      <c r="F46" s="77"/>
    </row>
    <row r="47" spans="2:6" hidden="1" x14ac:dyDescent="0.2">
      <c r="B47" s="78" t="s">
        <v>99</v>
      </c>
      <c r="C47" s="77" t="s">
        <v>100</v>
      </c>
      <c r="D47" s="223" t="s">
        <v>83</v>
      </c>
      <c r="E47" s="52"/>
      <c r="F47" s="77"/>
    </row>
    <row r="48" spans="2:6" hidden="1" x14ac:dyDescent="0.2">
      <c r="B48" s="78" t="s">
        <v>101</v>
      </c>
      <c r="C48" s="77" t="s">
        <v>102</v>
      </c>
      <c r="D48" s="307" t="s">
        <v>1263</v>
      </c>
      <c r="E48" s="52"/>
      <c r="F48" s="77"/>
    </row>
    <row r="49" spans="2:6" hidden="1" x14ac:dyDescent="0.2">
      <c r="B49" s="78" t="s">
        <v>103</v>
      </c>
      <c r="C49" s="77" t="s">
        <v>104</v>
      </c>
      <c r="D49" s="223" t="s">
        <v>83</v>
      </c>
      <c r="E49" s="52"/>
      <c r="F49" s="77"/>
    </row>
    <row r="50" spans="2:6" hidden="1" x14ac:dyDescent="0.2">
      <c r="B50" s="78" t="s">
        <v>105</v>
      </c>
      <c r="C50" s="77" t="s">
        <v>1264</v>
      </c>
      <c r="D50" s="223" t="s">
        <v>83</v>
      </c>
      <c r="E50" s="52"/>
      <c r="F50" s="77"/>
    </row>
    <row r="51" spans="2:6" hidden="1" x14ac:dyDescent="0.2">
      <c r="B51" s="78" t="s">
        <v>106</v>
      </c>
      <c r="C51" s="77" t="s">
        <v>107</v>
      </c>
      <c r="D51" s="223" t="s">
        <v>83</v>
      </c>
      <c r="E51" s="52"/>
      <c r="F51" s="77"/>
    </row>
    <row r="52" spans="2:6" hidden="1" x14ac:dyDescent="0.2">
      <c r="B52" s="78" t="s">
        <v>108</v>
      </c>
      <c r="C52" s="77" t="s">
        <v>109</v>
      </c>
      <c r="D52" s="307" t="s">
        <v>83</v>
      </c>
      <c r="E52" s="52"/>
      <c r="F52" s="77"/>
    </row>
    <row r="53" spans="2:6" hidden="1" x14ac:dyDescent="0.2">
      <c r="B53" s="78" t="s">
        <v>110</v>
      </c>
      <c r="C53" s="77" t="s">
        <v>111</v>
      </c>
      <c r="D53" s="223" t="s">
        <v>83</v>
      </c>
      <c r="E53" s="52"/>
      <c r="F53" s="77"/>
    </row>
    <row r="54" spans="2:6" hidden="1" x14ac:dyDescent="0.2">
      <c r="B54" s="78" t="s">
        <v>112</v>
      </c>
      <c r="C54" s="77" t="s">
        <v>113</v>
      </c>
      <c r="D54" s="223" t="s">
        <v>83</v>
      </c>
      <c r="E54" s="52"/>
      <c r="F54" s="77"/>
    </row>
    <row r="55" spans="2:6" hidden="1" x14ac:dyDescent="0.2">
      <c r="B55" s="78" t="s">
        <v>114</v>
      </c>
      <c r="C55" s="77" t="s">
        <v>115</v>
      </c>
      <c r="D55" s="223" t="s">
        <v>83</v>
      </c>
      <c r="E55" s="52"/>
      <c r="F55" s="77"/>
    </row>
    <row r="56" spans="2:6" hidden="1" x14ac:dyDescent="0.2">
      <c r="B56" s="78" t="s">
        <v>116</v>
      </c>
      <c r="C56" s="77" t="s">
        <v>117</v>
      </c>
      <c r="D56" s="223" t="s">
        <v>83</v>
      </c>
      <c r="E56" s="52"/>
      <c r="F56" s="77"/>
    </row>
    <row r="57" spans="2:6" hidden="1" x14ac:dyDescent="0.2">
      <c r="B57" s="78" t="s">
        <v>118</v>
      </c>
      <c r="C57" s="77" t="s">
        <v>119</v>
      </c>
      <c r="D57" s="223" t="s">
        <v>83</v>
      </c>
      <c r="E57" s="52"/>
      <c r="F57" s="77"/>
    </row>
    <row r="58" spans="2:6" hidden="1" x14ac:dyDescent="0.2">
      <c r="B58" s="78" t="s">
        <v>120</v>
      </c>
      <c r="C58" s="77" t="s">
        <v>121</v>
      </c>
      <c r="D58" s="223" t="s">
        <v>83</v>
      </c>
      <c r="E58" s="52"/>
      <c r="F58" s="77"/>
    </row>
    <row r="59" spans="2:6" hidden="1" x14ac:dyDescent="0.2">
      <c r="B59" s="78" t="s">
        <v>122</v>
      </c>
      <c r="C59" s="77" t="s">
        <v>123</v>
      </c>
      <c r="D59" s="223" t="s">
        <v>83</v>
      </c>
      <c r="E59" s="52"/>
      <c r="F59" s="77"/>
    </row>
    <row r="60" spans="2:6" hidden="1" x14ac:dyDescent="0.2">
      <c r="B60" s="78" t="s">
        <v>124</v>
      </c>
      <c r="C60" s="77" t="s">
        <v>125</v>
      </c>
      <c r="D60" s="223" t="s">
        <v>1263</v>
      </c>
      <c r="E60" s="52"/>
      <c r="F60" s="77"/>
    </row>
    <row r="61" spans="2:6" hidden="1" x14ac:dyDescent="0.2">
      <c r="B61" s="78" t="s">
        <v>126</v>
      </c>
      <c r="C61" s="77" t="s">
        <v>1265</v>
      </c>
      <c r="D61" s="223" t="s">
        <v>83</v>
      </c>
      <c r="E61" s="52"/>
      <c r="F61" s="77"/>
    </row>
    <row r="62" spans="2:6" hidden="1" x14ac:dyDescent="0.2">
      <c r="B62" s="78" t="s">
        <v>127</v>
      </c>
      <c r="C62" s="77" t="s">
        <v>128</v>
      </c>
      <c r="D62" s="307" t="s">
        <v>1263</v>
      </c>
      <c r="E62" s="52"/>
      <c r="F62" s="77"/>
    </row>
    <row r="63" spans="2:6" hidden="1" x14ac:dyDescent="0.2">
      <c r="B63" s="78" t="s">
        <v>129</v>
      </c>
      <c r="C63" s="77" t="s">
        <v>130</v>
      </c>
      <c r="D63" s="223" t="s">
        <v>83</v>
      </c>
      <c r="E63" s="52"/>
      <c r="F63" s="77"/>
    </row>
    <row r="64" spans="2:6" hidden="1" x14ac:dyDescent="0.2">
      <c r="B64" s="78" t="s">
        <v>131</v>
      </c>
      <c r="C64" s="77" t="s">
        <v>132</v>
      </c>
      <c r="D64" s="307" t="s">
        <v>83</v>
      </c>
      <c r="E64" s="52"/>
      <c r="F64" s="77"/>
    </row>
    <row r="65" spans="2:6" hidden="1" x14ac:dyDescent="0.2">
      <c r="B65" s="78" t="s">
        <v>133</v>
      </c>
      <c r="C65" s="77" t="s">
        <v>134</v>
      </c>
      <c r="D65" s="223" t="s">
        <v>83</v>
      </c>
      <c r="E65" s="52"/>
      <c r="F65" s="77"/>
    </row>
    <row r="66" spans="2:6" hidden="1" x14ac:dyDescent="0.2">
      <c r="B66" s="78" t="s">
        <v>135</v>
      </c>
      <c r="C66" s="77" t="s">
        <v>1266</v>
      </c>
      <c r="D66" s="307" t="s">
        <v>83</v>
      </c>
      <c r="E66" s="52"/>
      <c r="F66" s="77"/>
    </row>
    <row r="67" spans="2:6" hidden="1" x14ac:dyDescent="0.2">
      <c r="B67" s="78" t="s">
        <v>136</v>
      </c>
      <c r="C67" s="77" t="s">
        <v>137</v>
      </c>
      <c r="D67" s="223" t="s">
        <v>83</v>
      </c>
      <c r="E67" s="52"/>
      <c r="F67" s="77"/>
    </row>
    <row r="68" spans="2:6" hidden="1" x14ac:dyDescent="0.2">
      <c r="B68" s="78" t="s">
        <v>138</v>
      </c>
      <c r="C68" s="77" t="s">
        <v>139</v>
      </c>
      <c r="D68" s="223" t="s">
        <v>83</v>
      </c>
      <c r="E68" s="52"/>
      <c r="F68" s="77"/>
    </row>
    <row r="69" spans="2:6" hidden="1" x14ac:dyDescent="0.2">
      <c r="B69" s="78" t="s">
        <v>140</v>
      </c>
      <c r="C69" s="77" t="s">
        <v>141</v>
      </c>
      <c r="D69" s="223" t="s">
        <v>83</v>
      </c>
      <c r="E69" s="52"/>
      <c r="F69" s="77"/>
    </row>
    <row r="70" spans="2:6" hidden="1" x14ac:dyDescent="0.2">
      <c r="B70" s="78" t="s">
        <v>142</v>
      </c>
      <c r="C70" s="77" t="s">
        <v>143</v>
      </c>
      <c r="D70" s="223" t="s">
        <v>83</v>
      </c>
      <c r="E70" s="52"/>
      <c r="F70" s="77"/>
    </row>
    <row r="71" spans="2:6" hidden="1" x14ac:dyDescent="0.2">
      <c r="B71" s="78" t="s">
        <v>144</v>
      </c>
      <c r="C71" s="77" t="s">
        <v>145</v>
      </c>
      <c r="D71" s="223" t="s">
        <v>1263</v>
      </c>
      <c r="E71" s="52"/>
      <c r="F71" s="77"/>
    </row>
    <row r="72" spans="2:6" hidden="1" x14ac:dyDescent="0.2">
      <c r="B72" s="78" t="s">
        <v>146</v>
      </c>
      <c r="C72" s="77" t="s">
        <v>147</v>
      </c>
      <c r="D72" s="223" t="s">
        <v>83</v>
      </c>
      <c r="E72" s="52"/>
      <c r="F72" s="77"/>
    </row>
    <row r="73" spans="2:6" hidden="1" x14ac:dyDescent="0.2">
      <c r="B73" s="78" t="s">
        <v>148</v>
      </c>
      <c r="C73" s="77" t="s">
        <v>149</v>
      </c>
      <c r="D73" s="223" t="s">
        <v>83</v>
      </c>
      <c r="E73" s="52"/>
      <c r="F73" s="77"/>
    </row>
    <row r="74" spans="2:6" hidden="1" x14ac:dyDescent="0.2">
      <c r="B74" s="78" t="s">
        <v>150</v>
      </c>
      <c r="C74" s="77" t="s">
        <v>151</v>
      </c>
      <c r="D74" s="223" t="s">
        <v>83</v>
      </c>
      <c r="E74" s="52"/>
      <c r="F74" s="77"/>
    </row>
    <row r="75" spans="2:6" hidden="1" x14ac:dyDescent="0.2">
      <c r="B75" s="78" t="s">
        <v>152</v>
      </c>
      <c r="C75" s="77" t="s">
        <v>153</v>
      </c>
      <c r="D75" s="307" t="s">
        <v>1263</v>
      </c>
      <c r="E75" s="52"/>
      <c r="F75" s="77"/>
    </row>
    <row r="76" spans="2:6" hidden="1" x14ac:dyDescent="0.2">
      <c r="B76" s="78" t="s">
        <v>154</v>
      </c>
      <c r="C76" s="77" t="s">
        <v>155</v>
      </c>
      <c r="D76" s="223" t="s">
        <v>1263</v>
      </c>
      <c r="E76" s="52"/>
      <c r="F76" s="77"/>
    </row>
    <row r="77" spans="2:6" hidden="1" x14ac:dyDescent="0.2">
      <c r="B77" s="78" t="s">
        <v>156</v>
      </c>
      <c r="C77" s="77" t="s">
        <v>157</v>
      </c>
      <c r="D77" s="223" t="s">
        <v>1263</v>
      </c>
      <c r="E77" s="52"/>
      <c r="F77" s="77"/>
    </row>
    <row r="78" spans="2:6" hidden="1" x14ac:dyDescent="0.2">
      <c r="B78" s="78" t="s">
        <v>158</v>
      </c>
      <c r="C78" s="77" t="s">
        <v>159</v>
      </c>
      <c r="D78" s="223" t="s">
        <v>83</v>
      </c>
      <c r="E78" s="52"/>
      <c r="F78" s="77"/>
    </row>
    <row r="79" spans="2:6" hidden="1" x14ac:dyDescent="0.2">
      <c r="B79" s="78" t="s">
        <v>160</v>
      </c>
      <c r="C79" s="77" t="s">
        <v>161</v>
      </c>
      <c r="D79" s="307" t="s">
        <v>83</v>
      </c>
      <c r="E79" s="52"/>
      <c r="F79" s="77"/>
    </row>
    <row r="80" spans="2:6" hidden="1" x14ac:dyDescent="0.2">
      <c r="B80" s="78" t="s">
        <v>162</v>
      </c>
      <c r="C80" s="77" t="s">
        <v>163</v>
      </c>
      <c r="D80" s="307" t="s">
        <v>83</v>
      </c>
      <c r="E80" s="52"/>
      <c r="F80" s="77"/>
    </row>
    <row r="81" spans="2:6" hidden="1" x14ac:dyDescent="0.2">
      <c r="B81" s="78" t="s">
        <v>164</v>
      </c>
      <c r="C81" s="77" t="s">
        <v>165</v>
      </c>
      <c r="D81" s="307" t="s">
        <v>1263</v>
      </c>
      <c r="E81" s="52"/>
      <c r="F81" s="77"/>
    </row>
    <row r="82" spans="2:6" hidden="1" x14ac:dyDescent="0.2">
      <c r="B82" s="75" t="s">
        <v>166</v>
      </c>
      <c r="C82" s="77" t="s">
        <v>167</v>
      </c>
      <c r="D82" s="76" t="s">
        <v>83</v>
      </c>
      <c r="E82" s="52"/>
      <c r="F82" s="77"/>
    </row>
    <row r="83" spans="2:6" hidden="1" x14ac:dyDescent="0.2">
      <c r="B83" s="78" t="s">
        <v>168</v>
      </c>
      <c r="C83" s="77" t="s">
        <v>169</v>
      </c>
      <c r="D83" s="223" t="s">
        <v>83</v>
      </c>
      <c r="E83" s="52"/>
      <c r="F83" s="77"/>
    </row>
    <row r="84" spans="2:6" hidden="1" x14ac:dyDescent="0.2">
      <c r="B84" s="78" t="s">
        <v>170</v>
      </c>
      <c r="C84" s="77" t="s">
        <v>171</v>
      </c>
      <c r="D84" s="223" t="s">
        <v>83</v>
      </c>
      <c r="E84" s="52"/>
      <c r="F84" s="77"/>
    </row>
    <row r="85" spans="2:6" hidden="1" x14ac:dyDescent="0.2">
      <c r="B85" s="78" t="s">
        <v>172</v>
      </c>
      <c r="C85" s="77" t="s">
        <v>173</v>
      </c>
      <c r="D85" s="307" t="s">
        <v>1263</v>
      </c>
      <c r="E85" s="52"/>
      <c r="F85" s="77"/>
    </row>
    <row r="86" spans="2:6" hidden="1" x14ac:dyDescent="0.2">
      <c r="B86" s="78" t="s">
        <v>174</v>
      </c>
      <c r="C86" s="77" t="s">
        <v>1267</v>
      </c>
      <c r="D86" s="223" t="s">
        <v>83</v>
      </c>
      <c r="E86" s="52"/>
      <c r="F86" s="77"/>
    </row>
    <row r="87" spans="2:6" hidden="1" x14ac:dyDescent="0.2">
      <c r="B87" s="78" t="s">
        <v>175</v>
      </c>
      <c r="C87" s="77" t="s">
        <v>176</v>
      </c>
      <c r="D87" s="223" t="s">
        <v>83</v>
      </c>
      <c r="E87" s="52"/>
      <c r="F87" s="77"/>
    </row>
    <row r="88" spans="2:6" hidden="1" x14ac:dyDescent="0.2">
      <c r="B88" s="78" t="s">
        <v>177</v>
      </c>
      <c r="C88" s="77" t="s">
        <v>178</v>
      </c>
      <c r="D88" s="223" t="s">
        <v>83</v>
      </c>
      <c r="E88" s="52"/>
      <c r="F88" s="77"/>
    </row>
    <row r="89" spans="2:6" hidden="1" x14ac:dyDescent="0.2">
      <c r="B89" s="78" t="s">
        <v>179</v>
      </c>
      <c r="C89" s="77" t="s">
        <v>180</v>
      </c>
      <c r="D89" s="307" t="s">
        <v>83</v>
      </c>
      <c r="E89" s="52"/>
      <c r="F89" s="77"/>
    </row>
    <row r="90" spans="2:6" hidden="1" x14ac:dyDescent="0.2">
      <c r="B90" s="78" t="s">
        <v>181</v>
      </c>
      <c r="C90" s="77" t="s">
        <v>182</v>
      </c>
      <c r="D90" s="223" t="s">
        <v>83</v>
      </c>
      <c r="E90" s="52"/>
      <c r="F90" s="77"/>
    </row>
    <row r="91" spans="2:6" hidden="1" x14ac:dyDescent="0.2">
      <c r="B91" s="78" t="s">
        <v>183</v>
      </c>
      <c r="C91" s="77" t="s">
        <v>184</v>
      </c>
      <c r="D91" s="223" t="s">
        <v>1263</v>
      </c>
      <c r="E91" s="52"/>
      <c r="F91" s="77"/>
    </row>
    <row r="92" spans="2:6" hidden="1" x14ac:dyDescent="0.2">
      <c r="B92" s="78" t="s">
        <v>185</v>
      </c>
      <c r="C92" s="77" t="s">
        <v>186</v>
      </c>
      <c r="D92" s="223" t="s">
        <v>1263</v>
      </c>
      <c r="E92" s="52"/>
      <c r="F92" s="77"/>
    </row>
    <row r="93" spans="2:6" hidden="1" x14ac:dyDescent="0.2">
      <c r="B93" s="78" t="s">
        <v>187</v>
      </c>
      <c r="C93" s="77" t="s">
        <v>188</v>
      </c>
      <c r="D93" s="223" t="s">
        <v>1263</v>
      </c>
      <c r="E93" s="52"/>
      <c r="F93" s="77"/>
    </row>
    <row r="94" spans="2:6" hidden="1" x14ac:dyDescent="0.2">
      <c r="B94" s="78" t="s">
        <v>189</v>
      </c>
      <c r="C94" s="77" t="s">
        <v>190</v>
      </c>
      <c r="D94" s="307" t="s">
        <v>83</v>
      </c>
      <c r="E94" s="52"/>
      <c r="F94" s="77"/>
    </row>
    <row r="95" spans="2:6" hidden="1" x14ac:dyDescent="0.2">
      <c r="B95" s="78" t="s">
        <v>191</v>
      </c>
      <c r="C95" s="77" t="s">
        <v>192</v>
      </c>
      <c r="D95" s="307" t="s">
        <v>1263</v>
      </c>
      <c r="E95" s="52"/>
      <c r="F95" s="77"/>
    </row>
    <row r="96" spans="2:6" hidden="1" x14ac:dyDescent="0.2">
      <c r="B96" s="78" t="s">
        <v>193</v>
      </c>
      <c r="C96" s="77" t="s">
        <v>194</v>
      </c>
      <c r="D96" s="307" t="s">
        <v>83</v>
      </c>
      <c r="E96" s="52"/>
      <c r="F96" s="77"/>
    </row>
    <row r="97" spans="2:6" hidden="1" x14ac:dyDescent="0.2">
      <c r="B97" s="78" t="s">
        <v>195</v>
      </c>
      <c r="C97" s="77" t="s">
        <v>196</v>
      </c>
      <c r="D97" s="223" t="s">
        <v>1263</v>
      </c>
      <c r="E97" s="52"/>
      <c r="F97" s="77"/>
    </row>
    <row r="98" spans="2:6" hidden="1" x14ac:dyDescent="0.2">
      <c r="B98" s="78" t="s">
        <v>197</v>
      </c>
      <c r="C98" s="77" t="s">
        <v>198</v>
      </c>
      <c r="D98" s="307" t="s">
        <v>1263</v>
      </c>
      <c r="E98" s="52"/>
      <c r="F98" s="77"/>
    </row>
    <row r="99" spans="2:6" hidden="1" x14ac:dyDescent="0.2">
      <c r="B99" s="78" t="s">
        <v>199</v>
      </c>
      <c r="C99" s="77" t="s">
        <v>200</v>
      </c>
      <c r="D99" s="223" t="s">
        <v>1263</v>
      </c>
      <c r="E99" s="52"/>
      <c r="F99" s="77"/>
    </row>
    <row r="100" spans="2:6" hidden="1" x14ac:dyDescent="0.2">
      <c r="B100" s="78" t="s">
        <v>201</v>
      </c>
      <c r="C100" s="77" t="s">
        <v>202</v>
      </c>
      <c r="D100" s="307" t="s">
        <v>1263</v>
      </c>
      <c r="E100" s="52"/>
      <c r="F100" s="77"/>
    </row>
    <row r="101" spans="2:6" hidden="1" x14ac:dyDescent="0.2">
      <c r="B101" s="78" t="s">
        <v>203</v>
      </c>
      <c r="C101" s="77" t="s">
        <v>204</v>
      </c>
      <c r="D101" s="307" t="s">
        <v>83</v>
      </c>
      <c r="E101" s="52"/>
      <c r="F101" s="77"/>
    </row>
    <row r="102" spans="2:6" hidden="1" x14ac:dyDescent="0.2">
      <c r="B102" s="78" t="s">
        <v>205</v>
      </c>
      <c r="C102" s="77" t="s">
        <v>206</v>
      </c>
      <c r="D102" s="307" t="s">
        <v>83</v>
      </c>
      <c r="E102" s="52"/>
      <c r="F102" s="77"/>
    </row>
    <row r="103" spans="2:6" hidden="1" x14ac:dyDescent="0.2">
      <c r="B103" s="78" t="s">
        <v>207</v>
      </c>
      <c r="C103" s="77" t="s">
        <v>208</v>
      </c>
      <c r="D103" s="307" t="s">
        <v>83</v>
      </c>
      <c r="E103" s="52"/>
      <c r="F103" s="77"/>
    </row>
    <row r="104" spans="2:6" hidden="1" x14ac:dyDescent="0.2">
      <c r="B104" s="78" t="s">
        <v>209</v>
      </c>
      <c r="C104" s="77" t="s">
        <v>210</v>
      </c>
      <c r="D104" s="223" t="s">
        <v>1263</v>
      </c>
      <c r="E104" s="52"/>
      <c r="F104" s="77"/>
    </row>
    <row r="105" spans="2:6" hidden="1" x14ac:dyDescent="0.2">
      <c r="B105" s="78" t="s">
        <v>211</v>
      </c>
      <c r="C105" s="77" t="s">
        <v>212</v>
      </c>
      <c r="D105" s="223" t="s">
        <v>83</v>
      </c>
      <c r="E105" s="52"/>
      <c r="F105" s="77"/>
    </row>
    <row r="106" spans="2:6" hidden="1" x14ac:dyDescent="0.2">
      <c r="B106" s="78" t="s">
        <v>213</v>
      </c>
      <c r="C106" s="77" t="s">
        <v>214</v>
      </c>
      <c r="D106" s="223" t="s">
        <v>83</v>
      </c>
      <c r="E106" s="52"/>
      <c r="F106" s="77"/>
    </row>
    <row r="107" spans="2:6" hidden="1" x14ac:dyDescent="0.2">
      <c r="B107" s="78" t="s">
        <v>215</v>
      </c>
      <c r="C107" s="77" t="s">
        <v>216</v>
      </c>
      <c r="D107" s="307" t="s">
        <v>83</v>
      </c>
      <c r="E107" s="52"/>
      <c r="F107" s="77"/>
    </row>
    <row r="108" spans="2:6" hidden="1" x14ac:dyDescent="0.2">
      <c r="B108" s="78" t="s">
        <v>217</v>
      </c>
      <c r="C108" s="77" t="s">
        <v>218</v>
      </c>
      <c r="D108" s="307" t="s">
        <v>83</v>
      </c>
      <c r="E108" s="52"/>
      <c r="F108" s="77"/>
    </row>
    <row r="109" spans="2:6" hidden="1" x14ac:dyDescent="0.2">
      <c r="B109" s="75" t="s">
        <v>219</v>
      </c>
      <c r="C109" s="77" t="s">
        <v>1268</v>
      </c>
      <c r="D109" s="76" t="s">
        <v>83</v>
      </c>
      <c r="E109" s="52"/>
      <c r="F109" s="77"/>
    </row>
    <row r="110" spans="2:6" hidden="1" x14ac:dyDescent="0.2">
      <c r="B110" s="78" t="s">
        <v>220</v>
      </c>
      <c r="C110" s="77" t="s">
        <v>221</v>
      </c>
      <c r="D110" s="223" t="s">
        <v>83</v>
      </c>
      <c r="E110" s="52"/>
      <c r="F110" s="77"/>
    </row>
    <row r="111" spans="2:6" hidden="1" x14ac:dyDescent="0.2">
      <c r="B111" s="78" t="s">
        <v>222</v>
      </c>
      <c r="C111" s="77" t="s">
        <v>223</v>
      </c>
      <c r="D111" s="223" t="s">
        <v>83</v>
      </c>
      <c r="E111" s="52"/>
      <c r="F111" s="77"/>
    </row>
    <row r="112" spans="2:6" hidden="1" x14ac:dyDescent="0.2">
      <c r="B112" s="78" t="s">
        <v>224</v>
      </c>
      <c r="C112" s="77" t="s">
        <v>225</v>
      </c>
      <c r="D112" s="223" t="s">
        <v>83</v>
      </c>
      <c r="E112" s="52"/>
      <c r="F112" s="77"/>
    </row>
    <row r="113" spans="2:6" hidden="1" x14ac:dyDescent="0.2">
      <c r="B113" s="78" t="s">
        <v>226</v>
      </c>
      <c r="C113" s="77" t="s">
        <v>227</v>
      </c>
      <c r="D113" s="223" t="s">
        <v>1263</v>
      </c>
      <c r="E113" s="52"/>
      <c r="F113" s="77"/>
    </row>
    <row r="114" spans="2:6" hidden="1" x14ac:dyDescent="0.2">
      <c r="B114" s="78" t="s">
        <v>228</v>
      </c>
      <c r="C114" s="77" t="s">
        <v>229</v>
      </c>
      <c r="D114" s="223" t="s">
        <v>83</v>
      </c>
      <c r="E114" s="52"/>
      <c r="F114" s="77"/>
    </row>
    <row r="115" spans="2:6" hidden="1" x14ac:dyDescent="0.2">
      <c r="B115" s="78" t="s">
        <v>230</v>
      </c>
      <c r="C115" s="77" t="s">
        <v>231</v>
      </c>
      <c r="D115" s="223" t="s">
        <v>83</v>
      </c>
      <c r="E115" s="52"/>
      <c r="F115" s="77"/>
    </row>
    <row r="116" spans="2:6" hidden="1" x14ac:dyDescent="0.2">
      <c r="B116" s="78" t="s">
        <v>232</v>
      </c>
      <c r="C116" s="77" t="s">
        <v>233</v>
      </c>
      <c r="D116" s="223" t="s">
        <v>83</v>
      </c>
      <c r="E116" s="52"/>
      <c r="F116" s="77"/>
    </row>
    <row r="117" spans="2:6" hidden="1" x14ac:dyDescent="0.2">
      <c r="B117" s="78" t="s">
        <v>234</v>
      </c>
      <c r="C117" s="77" t="s">
        <v>235</v>
      </c>
      <c r="D117" s="307" t="s">
        <v>1263</v>
      </c>
      <c r="E117" s="52"/>
      <c r="F117" s="77"/>
    </row>
    <row r="118" spans="2:6" hidden="1" x14ac:dyDescent="0.2">
      <c r="B118" s="78" t="s">
        <v>236</v>
      </c>
      <c r="C118" s="77" t="s">
        <v>237</v>
      </c>
      <c r="D118" s="223" t="s">
        <v>1263</v>
      </c>
      <c r="E118" s="52"/>
      <c r="F118" s="77"/>
    </row>
    <row r="119" spans="2:6" hidden="1" x14ac:dyDescent="0.2">
      <c r="B119" s="78" t="s">
        <v>238</v>
      </c>
      <c r="C119" s="77" t="s">
        <v>239</v>
      </c>
      <c r="D119" s="223" t="s">
        <v>83</v>
      </c>
      <c r="E119" s="52"/>
      <c r="F119" s="77"/>
    </row>
    <row r="120" spans="2:6" hidden="1" x14ac:dyDescent="0.2">
      <c r="B120" s="78" t="s">
        <v>240</v>
      </c>
      <c r="C120" s="77" t="s">
        <v>241</v>
      </c>
      <c r="D120" s="223" t="s">
        <v>1263</v>
      </c>
      <c r="E120" s="52"/>
      <c r="F120" s="77"/>
    </row>
    <row r="121" spans="2:6" hidden="1" x14ac:dyDescent="0.2">
      <c r="B121" s="78" t="s">
        <v>242</v>
      </c>
      <c r="C121" s="77" t="s">
        <v>243</v>
      </c>
      <c r="D121" s="307" t="s">
        <v>1263</v>
      </c>
      <c r="E121" s="52"/>
      <c r="F121" s="77"/>
    </row>
    <row r="122" spans="2:6" hidden="1" x14ac:dyDescent="0.2">
      <c r="B122" s="78" t="s">
        <v>244</v>
      </c>
      <c r="C122" s="77" t="s">
        <v>245</v>
      </c>
      <c r="D122" s="307" t="s">
        <v>83</v>
      </c>
      <c r="E122" s="52"/>
      <c r="F122" s="77"/>
    </row>
    <row r="123" spans="2:6" hidden="1" x14ac:dyDescent="0.2">
      <c r="B123" s="78" t="s">
        <v>246</v>
      </c>
      <c r="C123" s="77" t="s">
        <v>247</v>
      </c>
      <c r="D123" s="223" t="s">
        <v>83</v>
      </c>
      <c r="E123" s="52"/>
      <c r="F123" s="77"/>
    </row>
    <row r="124" spans="2:6" hidden="1" x14ac:dyDescent="0.2">
      <c r="B124" s="78" t="s">
        <v>248</v>
      </c>
      <c r="C124" s="77" t="s">
        <v>249</v>
      </c>
      <c r="D124" s="307" t="s">
        <v>1263</v>
      </c>
      <c r="E124" s="52"/>
      <c r="F124" s="77"/>
    </row>
    <row r="125" spans="2:6" hidden="1" x14ac:dyDescent="0.2">
      <c r="B125" s="78" t="s">
        <v>250</v>
      </c>
      <c r="C125" s="77" t="s">
        <v>251</v>
      </c>
      <c r="D125" s="307" t="s">
        <v>83</v>
      </c>
      <c r="E125" s="52"/>
      <c r="F125" s="77"/>
    </row>
    <row r="126" spans="2:6" hidden="1" x14ac:dyDescent="0.2">
      <c r="B126" s="78" t="s">
        <v>252</v>
      </c>
      <c r="C126" s="77" t="s">
        <v>1269</v>
      </c>
      <c r="D126" s="223" t="s">
        <v>83</v>
      </c>
      <c r="E126" s="52"/>
      <c r="F126" s="77"/>
    </row>
    <row r="127" spans="2:6" hidden="1" x14ac:dyDescent="0.2">
      <c r="B127" s="78" t="s">
        <v>253</v>
      </c>
      <c r="C127" s="77" t="s">
        <v>1270</v>
      </c>
      <c r="D127" s="223" t="s">
        <v>83</v>
      </c>
      <c r="E127" s="52"/>
      <c r="F127" s="77"/>
    </row>
    <row r="128" spans="2:6" hidden="1" x14ac:dyDescent="0.2">
      <c r="B128" s="78" t="s">
        <v>254</v>
      </c>
      <c r="C128" s="77" t="s">
        <v>255</v>
      </c>
      <c r="D128" s="307" t="s">
        <v>83</v>
      </c>
      <c r="E128" s="52"/>
      <c r="F128" s="77"/>
    </row>
    <row r="129" spans="2:6" hidden="1" x14ac:dyDescent="0.2">
      <c r="B129" s="78" t="s">
        <v>256</v>
      </c>
      <c r="C129" s="77" t="s">
        <v>257</v>
      </c>
      <c r="D129" s="223" t="s">
        <v>83</v>
      </c>
      <c r="E129" s="52"/>
      <c r="F129" s="77"/>
    </row>
    <row r="130" spans="2:6" hidden="1" x14ac:dyDescent="0.2">
      <c r="B130" s="78" t="s">
        <v>258</v>
      </c>
      <c r="C130" s="77" t="s">
        <v>259</v>
      </c>
      <c r="D130" s="223" t="s">
        <v>83</v>
      </c>
      <c r="E130" s="52"/>
      <c r="F130" s="77"/>
    </row>
    <row r="131" spans="2:6" hidden="1" x14ac:dyDescent="0.2">
      <c r="B131" s="78" t="s">
        <v>260</v>
      </c>
      <c r="C131" s="77" t="s">
        <v>261</v>
      </c>
      <c r="D131" s="223" t="s">
        <v>83</v>
      </c>
      <c r="E131" s="52"/>
      <c r="F131" s="77"/>
    </row>
    <row r="132" spans="2:6" hidden="1" x14ac:dyDescent="0.2">
      <c r="B132" s="78" t="s">
        <v>262</v>
      </c>
      <c r="C132" s="77" t="s">
        <v>263</v>
      </c>
      <c r="D132" s="223" t="s">
        <v>1263</v>
      </c>
      <c r="E132" s="52"/>
      <c r="F132" s="77"/>
    </row>
    <row r="133" spans="2:6" hidden="1" x14ac:dyDescent="0.2">
      <c r="B133" s="78" t="s">
        <v>264</v>
      </c>
      <c r="C133" s="77" t="s">
        <v>1271</v>
      </c>
      <c r="D133" s="223" t="s">
        <v>1263</v>
      </c>
      <c r="E133" s="52"/>
      <c r="F133" s="77"/>
    </row>
    <row r="134" spans="2:6" hidden="1" x14ac:dyDescent="0.2">
      <c r="B134" s="78" t="s">
        <v>265</v>
      </c>
      <c r="C134" s="77" t="s">
        <v>266</v>
      </c>
      <c r="D134" s="223" t="s">
        <v>1263</v>
      </c>
      <c r="E134" s="52"/>
      <c r="F134" s="77"/>
    </row>
    <row r="135" spans="2:6" hidden="1" x14ac:dyDescent="0.2">
      <c r="B135" s="78" t="s">
        <v>267</v>
      </c>
      <c r="C135" s="77" t="s">
        <v>268</v>
      </c>
      <c r="D135" s="223" t="s">
        <v>1263</v>
      </c>
      <c r="E135" s="52"/>
      <c r="F135" s="77"/>
    </row>
    <row r="136" spans="2:6" hidden="1" x14ac:dyDescent="0.2">
      <c r="B136" s="78" t="s">
        <v>269</v>
      </c>
      <c r="C136" s="77" t="s">
        <v>270</v>
      </c>
      <c r="D136" s="307" t="s">
        <v>1263</v>
      </c>
      <c r="E136" s="52"/>
      <c r="F136" s="77"/>
    </row>
    <row r="137" spans="2:6" hidden="1" x14ac:dyDescent="0.2">
      <c r="B137" s="78" t="s">
        <v>271</v>
      </c>
      <c r="C137" s="77" t="s">
        <v>272</v>
      </c>
      <c r="D137" s="307" t="s">
        <v>1263</v>
      </c>
      <c r="E137" s="52"/>
      <c r="F137" s="77"/>
    </row>
    <row r="138" spans="2:6" hidden="1" x14ac:dyDescent="0.2">
      <c r="B138" s="78" t="s">
        <v>273</v>
      </c>
      <c r="C138" s="77" t="s">
        <v>274</v>
      </c>
      <c r="D138" s="307" t="s">
        <v>83</v>
      </c>
      <c r="E138" s="52"/>
      <c r="F138" s="77"/>
    </row>
    <row r="139" spans="2:6" hidden="1" x14ac:dyDescent="0.2">
      <c r="B139" s="78" t="s">
        <v>275</v>
      </c>
      <c r="C139" s="77" t="s">
        <v>276</v>
      </c>
      <c r="D139" s="307" t="s">
        <v>83</v>
      </c>
      <c r="E139" s="52"/>
      <c r="F139" s="77"/>
    </row>
    <row r="140" spans="2:6" hidden="1" x14ac:dyDescent="0.2">
      <c r="B140" s="78" t="s">
        <v>277</v>
      </c>
      <c r="C140" s="77" t="s">
        <v>278</v>
      </c>
      <c r="D140" s="307" t="s">
        <v>83</v>
      </c>
      <c r="E140" s="52"/>
      <c r="F140" s="77"/>
    </row>
    <row r="141" spans="2:6" hidden="1" x14ac:dyDescent="0.2">
      <c r="B141" s="78" t="s">
        <v>279</v>
      </c>
      <c r="C141" s="77" t="s">
        <v>280</v>
      </c>
      <c r="D141" s="307" t="s">
        <v>1263</v>
      </c>
      <c r="E141" s="52"/>
      <c r="F141" s="77"/>
    </row>
    <row r="142" spans="2:6" hidden="1" x14ac:dyDescent="0.2">
      <c r="B142" s="78" t="s">
        <v>281</v>
      </c>
      <c r="C142" s="77" t="s">
        <v>282</v>
      </c>
      <c r="D142" s="223" t="s">
        <v>83</v>
      </c>
      <c r="E142" s="52"/>
      <c r="F142" s="77"/>
    </row>
    <row r="143" spans="2:6" hidden="1" x14ac:dyDescent="0.2">
      <c r="B143" s="78" t="s">
        <v>283</v>
      </c>
      <c r="C143" s="77" t="s">
        <v>1272</v>
      </c>
      <c r="D143" s="223" t="s">
        <v>1263</v>
      </c>
      <c r="E143" s="52"/>
      <c r="F143" s="77"/>
    </row>
    <row r="144" spans="2:6" hidden="1" x14ac:dyDescent="0.2">
      <c r="B144" s="78" t="s">
        <v>284</v>
      </c>
      <c r="C144" s="77" t="s">
        <v>285</v>
      </c>
      <c r="D144" s="223" t="s">
        <v>83</v>
      </c>
      <c r="E144" s="52"/>
      <c r="F144" s="77"/>
    </row>
    <row r="145" spans="2:6" hidden="1" x14ac:dyDescent="0.2">
      <c r="B145" s="78" t="s">
        <v>286</v>
      </c>
      <c r="C145" s="77" t="s">
        <v>287</v>
      </c>
      <c r="D145" s="307" t="s">
        <v>83</v>
      </c>
      <c r="E145" s="52"/>
      <c r="F145" s="77"/>
    </row>
    <row r="146" spans="2:6" hidden="1" x14ac:dyDescent="0.2">
      <c r="B146" s="78" t="s">
        <v>288</v>
      </c>
      <c r="C146" s="77" t="s">
        <v>1273</v>
      </c>
      <c r="D146" s="223" t="s">
        <v>83</v>
      </c>
      <c r="E146" s="52"/>
      <c r="F146" s="77"/>
    </row>
    <row r="147" spans="2:6" hidden="1" x14ac:dyDescent="0.2">
      <c r="B147" s="78" t="s">
        <v>289</v>
      </c>
      <c r="C147" s="77" t="s">
        <v>290</v>
      </c>
      <c r="D147" s="307" t="s">
        <v>83</v>
      </c>
      <c r="E147" s="52"/>
      <c r="F147" s="77"/>
    </row>
    <row r="148" spans="2:6" hidden="1" x14ac:dyDescent="0.2">
      <c r="B148" s="78" t="s">
        <v>291</v>
      </c>
      <c r="C148" s="77" t="s">
        <v>1274</v>
      </c>
      <c r="D148" s="223" t="s">
        <v>1263</v>
      </c>
      <c r="E148" s="52"/>
      <c r="F148" s="77"/>
    </row>
    <row r="149" spans="2:6" hidden="1" x14ac:dyDescent="0.2">
      <c r="B149" s="78" t="s">
        <v>292</v>
      </c>
      <c r="C149" s="77" t="s">
        <v>293</v>
      </c>
      <c r="D149" s="223" t="s">
        <v>83</v>
      </c>
      <c r="E149" s="52"/>
      <c r="F149" s="77"/>
    </row>
    <row r="150" spans="2:6" hidden="1" x14ac:dyDescent="0.2">
      <c r="B150" s="78" t="s">
        <v>294</v>
      </c>
      <c r="C150" s="77" t="s">
        <v>295</v>
      </c>
      <c r="D150" s="223" t="s">
        <v>83</v>
      </c>
      <c r="E150" s="52"/>
      <c r="F150" s="77"/>
    </row>
    <row r="151" spans="2:6" hidden="1" x14ac:dyDescent="0.2">
      <c r="B151" s="78" t="s">
        <v>296</v>
      </c>
      <c r="C151" s="77" t="s">
        <v>297</v>
      </c>
      <c r="D151" s="223" t="s">
        <v>83</v>
      </c>
      <c r="E151" s="52"/>
      <c r="F151" s="77"/>
    </row>
    <row r="152" spans="2:6" hidden="1" x14ac:dyDescent="0.2">
      <c r="B152" s="78" t="s">
        <v>298</v>
      </c>
      <c r="C152" s="77" t="s">
        <v>299</v>
      </c>
      <c r="D152" s="307" t="s">
        <v>83</v>
      </c>
      <c r="E152" s="52"/>
      <c r="F152" s="77"/>
    </row>
    <row r="153" spans="2:6" hidden="1" x14ac:dyDescent="0.2">
      <c r="B153" s="78" t="s">
        <v>300</v>
      </c>
      <c r="C153" s="77" t="s">
        <v>301</v>
      </c>
      <c r="D153" s="307" t="s">
        <v>83</v>
      </c>
      <c r="E153" s="52"/>
      <c r="F153" s="77"/>
    </row>
    <row r="154" spans="2:6" hidden="1" x14ac:dyDescent="0.2">
      <c r="B154" s="78" t="s">
        <v>302</v>
      </c>
      <c r="C154" s="77" t="s">
        <v>303</v>
      </c>
      <c r="D154" s="223" t="s">
        <v>83</v>
      </c>
      <c r="E154" s="52"/>
      <c r="F154" s="77"/>
    </row>
    <row r="155" spans="2:6" hidden="1" x14ac:dyDescent="0.2">
      <c r="B155" s="78" t="s">
        <v>304</v>
      </c>
      <c r="C155" s="77" t="s">
        <v>305</v>
      </c>
      <c r="D155" s="223" t="s">
        <v>1263</v>
      </c>
      <c r="E155" s="52"/>
      <c r="F155" s="77"/>
    </row>
    <row r="156" spans="2:6" hidden="1" x14ac:dyDescent="0.2">
      <c r="B156" s="78" t="s">
        <v>306</v>
      </c>
      <c r="C156" s="77" t="s">
        <v>307</v>
      </c>
      <c r="D156" s="223" t="s">
        <v>1263</v>
      </c>
      <c r="E156" s="52"/>
      <c r="F156" s="77"/>
    </row>
    <row r="157" spans="2:6" hidden="1" x14ac:dyDescent="0.2">
      <c r="B157" s="78" t="s">
        <v>308</v>
      </c>
      <c r="C157" s="77" t="s">
        <v>309</v>
      </c>
      <c r="D157" s="223" t="s">
        <v>1263</v>
      </c>
      <c r="E157" s="52"/>
      <c r="F157" s="77"/>
    </row>
    <row r="158" spans="2:6" hidden="1" x14ac:dyDescent="0.2">
      <c r="B158" s="78" t="s">
        <v>310</v>
      </c>
      <c r="C158" s="77" t="s">
        <v>311</v>
      </c>
      <c r="D158" s="223" t="s">
        <v>83</v>
      </c>
      <c r="E158" s="52"/>
      <c r="F158" s="77"/>
    </row>
    <row r="159" spans="2:6" hidden="1" x14ac:dyDescent="0.2">
      <c r="B159" s="78" t="s">
        <v>312</v>
      </c>
      <c r="C159" s="77" t="s">
        <v>313</v>
      </c>
      <c r="D159" s="223" t="s">
        <v>1263</v>
      </c>
      <c r="E159" s="52"/>
      <c r="F159" s="77"/>
    </row>
    <row r="160" spans="2:6" hidden="1" x14ac:dyDescent="0.2">
      <c r="B160" s="78" t="s">
        <v>314</v>
      </c>
      <c r="C160" s="77" t="s">
        <v>315</v>
      </c>
      <c r="D160" s="307" t="s">
        <v>1263</v>
      </c>
      <c r="E160" s="52"/>
      <c r="F160" s="77"/>
    </row>
    <row r="161" spans="2:6" hidden="1" x14ac:dyDescent="0.2">
      <c r="B161" s="78" t="s">
        <v>316</v>
      </c>
      <c r="C161" s="77" t="s">
        <v>317</v>
      </c>
      <c r="D161" s="307" t="s">
        <v>83</v>
      </c>
      <c r="E161" s="52"/>
      <c r="F161" s="77"/>
    </row>
    <row r="162" spans="2:6" hidden="1" x14ac:dyDescent="0.2">
      <c r="B162" s="78" t="s">
        <v>318</v>
      </c>
      <c r="C162" s="77" t="s">
        <v>319</v>
      </c>
      <c r="D162" s="307" t="s">
        <v>1263</v>
      </c>
      <c r="E162" s="52"/>
      <c r="F162" s="77"/>
    </row>
    <row r="163" spans="2:6" hidden="1" x14ac:dyDescent="0.2">
      <c r="B163" s="78" t="s">
        <v>320</v>
      </c>
      <c r="C163" s="77" t="s">
        <v>321</v>
      </c>
      <c r="D163" s="223" t="s">
        <v>1263</v>
      </c>
      <c r="E163" s="52"/>
      <c r="F163" s="77"/>
    </row>
    <row r="164" spans="2:6" hidden="1" x14ac:dyDescent="0.2">
      <c r="B164" s="78" t="s">
        <v>322</v>
      </c>
      <c r="C164" s="77" t="s">
        <v>323</v>
      </c>
      <c r="D164" s="307" t="s">
        <v>83</v>
      </c>
      <c r="E164" s="52"/>
      <c r="F164" s="77"/>
    </row>
    <row r="165" spans="2:6" hidden="1" x14ac:dyDescent="0.2">
      <c r="B165" s="78" t="s">
        <v>324</v>
      </c>
      <c r="C165" s="77" t="s">
        <v>325</v>
      </c>
      <c r="D165" s="307" t="s">
        <v>83</v>
      </c>
      <c r="E165" s="52"/>
      <c r="F165" s="77"/>
    </row>
    <row r="166" spans="2:6" hidden="1" x14ac:dyDescent="0.2">
      <c r="B166" s="78" t="s">
        <v>326</v>
      </c>
      <c r="C166" s="77" t="s">
        <v>327</v>
      </c>
      <c r="D166" s="307" t="s">
        <v>83</v>
      </c>
      <c r="E166" s="52"/>
      <c r="F166" s="77"/>
    </row>
    <row r="167" spans="2:6" hidden="1" x14ac:dyDescent="0.2">
      <c r="B167" s="78" t="s">
        <v>328</v>
      </c>
      <c r="C167" s="77" t="s">
        <v>329</v>
      </c>
      <c r="D167" s="223" t="s">
        <v>83</v>
      </c>
      <c r="E167" s="52"/>
      <c r="F167" s="77"/>
    </row>
    <row r="168" spans="2:6" hidden="1" x14ac:dyDescent="0.2">
      <c r="B168" s="78" t="s">
        <v>330</v>
      </c>
      <c r="C168" s="77" t="s">
        <v>331</v>
      </c>
      <c r="D168" s="307" t="s">
        <v>83</v>
      </c>
      <c r="E168" s="52"/>
      <c r="F168" s="77"/>
    </row>
    <row r="169" spans="2:6" hidden="1" x14ac:dyDescent="0.2">
      <c r="B169" s="78" t="s">
        <v>332</v>
      </c>
      <c r="C169" s="77" t="s">
        <v>333</v>
      </c>
      <c r="D169" s="307" t="s">
        <v>1263</v>
      </c>
      <c r="E169" s="52"/>
      <c r="F169" s="77"/>
    </row>
    <row r="170" spans="2:6" hidden="1" x14ac:dyDescent="0.2">
      <c r="B170" s="78" t="s">
        <v>334</v>
      </c>
      <c r="C170" s="77" t="s">
        <v>335</v>
      </c>
      <c r="D170" s="223" t="s">
        <v>83</v>
      </c>
      <c r="E170" s="52"/>
      <c r="F170" s="77"/>
    </row>
    <row r="171" spans="2:6" hidden="1" x14ac:dyDescent="0.2">
      <c r="B171" s="78" t="s">
        <v>336</v>
      </c>
      <c r="C171" s="77" t="s">
        <v>337</v>
      </c>
      <c r="D171" s="223" t="s">
        <v>1263</v>
      </c>
      <c r="E171" s="52"/>
      <c r="F171" s="77"/>
    </row>
    <row r="172" spans="2:6" hidden="1" x14ac:dyDescent="0.2">
      <c r="B172" s="78" t="s">
        <v>338</v>
      </c>
      <c r="C172" s="77" t="s">
        <v>339</v>
      </c>
      <c r="D172" s="223" t="s">
        <v>1263</v>
      </c>
      <c r="E172" s="52"/>
      <c r="F172" s="77"/>
    </row>
    <row r="173" spans="2:6" hidden="1" x14ac:dyDescent="0.2">
      <c r="B173" s="78" t="s">
        <v>340</v>
      </c>
      <c r="C173" s="77" t="s">
        <v>341</v>
      </c>
      <c r="D173" s="223" t="s">
        <v>83</v>
      </c>
      <c r="E173" s="52"/>
      <c r="F173" s="77"/>
    </row>
    <row r="174" spans="2:6" hidden="1" x14ac:dyDescent="0.2">
      <c r="B174" s="78" t="s">
        <v>342</v>
      </c>
      <c r="C174" s="77" t="s">
        <v>343</v>
      </c>
      <c r="D174" s="223" t="s">
        <v>83</v>
      </c>
      <c r="E174" s="52"/>
      <c r="F174" s="77"/>
    </row>
    <row r="175" spans="2:6" hidden="1" x14ac:dyDescent="0.2">
      <c r="B175" s="78" t="s">
        <v>344</v>
      </c>
      <c r="C175" s="77" t="s">
        <v>345</v>
      </c>
      <c r="D175" s="307" t="s">
        <v>83</v>
      </c>
      <c r="E175" s="52"/>
      <c r="F175" s="77"/>
    </row>
    <row r="176" spans="2:6" hidden="1" x14ac:dyDescent="0.2">
      <c r="B176" s="78" t="s">
        <v>346</v>
      </c>
      <c r="C176" s="77" t="s">
        <v>347</v>
      </c>
      <c r="D176" s="223" t="s">
        <v>83</v>
      </c>
      <c r="E176" s="52"/>
      <c r="F176" s="77"/>
    </row>
    <row r="177" spans="2:6" hidden="1" x14ac:dyDescent="0.2">
      <c r="B177" s="78" t="s">
        <v>348</v>
      </c>
      <c r="C177" s="77" t="s">
        <v>1275</v>
      </c>
      <c r="D177" s="307" t="s">
        <v>1263</v>
      </c>
      <c r="E177" s="52"/>
      <c r="F177" s="77"/>
    </row>
    <row r="178" spans="2:6" hidden="1" x14ac:dyDescent="0.2">
      <c r="B178" s="78" t="s">
        <v>349</v>
      </c>
      <c r="C178" s="77" t="s">
        <v>350</v>
      </c>
      <c r="D178" s="307" t="s">
        <v>83</v>
      </c>
      <c r="E178" s="52"/>
      <c r="F178" s="77"/>
    </row>
    <row r="179" spans="2:6" hidden="1" x14ac:dyDescent="0.2">
      <c r="B179" s="78" t="s">
        <v>351</v>
      </c>
      <c r="C179" s="77" t="s">
        <v>352</v>
      </c>
      <c r="D179" s="223" t="s">
        <v>83</v>
      </c>
      <c r="E179" s="52"/>
      <c r="F179" s="77"/>
    </row>
    <row r="180" spans="2:6" hidden="1" x14ac:dyDescent="0.2">
      <c r="B180" s="78" t="s">
        <v>353</v>
      </c>
      <c r="C180" s="77" t="s">
        <v>1276</v>
      </c>
      <c r="D180" s="223" t="s">
        <v>1263</v>
      </c>
      <c r="E180" s="52"/>
      <c r="F180" s="77"/>
    </row>
    <row r="181" spans="2:6" hidden="1" x14ac:dyDescent="0.2">
      <c r="B181" s="78" t="s">
        <v>354</v>
      </c>
      <c r="C181" s="77" t="s">
        <v>355</v>
      </c>
      <c r="D181" s="223" t="s">
        <v>1263</v>
      </c>
      <c r="E181" s="52"/>
      <c r="F181" s="77"/>
    </row>
    <row r="182" spans="2:6" hidden="1" x14ac:dyDescent="0.2">
      <c r="B182" s="78" t="s">
        <v>356</v>
      </c>
      <c r="C182" s="77" t="s">
        <v>357</v>
      </c>
      <c r="D182" s="223" t="s">
        <v>1263</v>
      </c>
      <c r="E182" s="52"/>
      <c r="F182" s="77"/>
    </row>
    <row r="183" spans="2:6" hidden="1" x14ac:dyDescent="0.2">
      <c r="B183" s="78" t="s">
        <v>358</v>
      </c>
      <c r="C183" s="77" t="s">
        <v>359</v>
      </c>
      <c r="D183" s="307" t="s">
        <v>83</v>
      </c>
      <c r="E183" s="52"/>
      <c r="F183" s="77"/>
    </row>
    <row r="184" spans="2:6" hidden="1" x14ac:dyDescent="0.2">
      <c r="B184" s="78" t="s">
        <v>360</v>
      </c>
      <c r="C184" s="77" t="s">
        <v>361</v>
      </c>
      <c r="D184" s="223" t="s">
        <v>83</v>
      </c>
      <c r="E184" s="52"/>
      <c r="F184" s="77"/>
    </row>
    <row r="185" spans="2:6" hidden="1" x14ac:dyDescent="0.2">
      <c r="B185" s="78" t="s">
        <v>362</v>
      </c>
      <c r="C185" s="77" t="s">
        <v>363</v>
      </c>
      <c r="D185" s="223" t="s">
        <v>83</v>
      </c>
      <c r="E185" s="52"/>
      <c r="F185" s="77"/>
    </row>
    <row r="186" spans="2:6" hidden="1" x14ac:dyDescent="0.2">
      <c r="B186" s="78" t="s">
        <v>364</v>
      </c>
      <c r="C186" s="77" t="s">
        <v>365</v>
      </c>
      <c r="D186" s="307" t="s">
        <v>83</v>
      </c>
      <c r="E186" s="52"/>
      <c r="F186" s="77"/>
    </row>
    <row r="187" spans="2:6" hidden="1" x14ac:dyDescent="0.2">
      <c r="B187" s="78" t="s">
        <v>366</v>
      </c>
      <c r="C187" s="77" t="s">
        <v>367</v>
      </c>
      <c r="D187" s="223" t="s">
        <v>1263</v>
      </c>
      <c r="E187" s="52"/>
      <c r="F187" s="77"/>
    </row>
    <row r="188" spans="2:6" hidden="1" x14ac:dyDescent="0.2">
      <c r="B188" s="78" t="s">
        <v>368</v>
      </c>
      <c r="C188" s="77" t="s">
        <v>369</v>
      </c>
      <c r="D188" s="308" t="s">
        <v>83</v>
      </c>
      <c r="E188" s="52"/>
      <c r="F188" s="52"/>
    </row>
    <row r="189" spans="2:6" hidden="1" x14ac:dyDescent="0.2">
      <c r="B189" s="78" t="s">
        <v>370</v>
      </c>
      <c r="C189" s="77" t="s">
        <v>371</v>
      </c>
      <c r="D189" s="308" t="s">
        <v>83</v>
      </c>
      <c r="E189" s="52"/>
      <c r="F189" s="52"/>
    </row>
    <row r="190" spans="2:6" hidden="1" x14ac:dyDescent="0.2">
      <c r="B190" s="78" t="s">
        <v>372</v>
      </c>
      <c r="C190" s="77" t="s">
        <v>373</v>
      </c>
      <c r="D190" s="233" t="s">
        <v>83</v>
      </c>
      <c r="E190" s="52"/>
      <c r="F190" s="52"/>
    </row>
    <row r="191" spans="2:6" hidden="1" x14ac:dyDescent="0.2">
      <c r="B191" s="78" t="s">
        <v>374</v>
      </c>
      <c r="C191" s="77" t="s">
        <v>375</v>
      </c>
      <c r="D191" s="233" t="s">
        <v>1263</v>
      </c>
      <c r="E191" s="52"/>
      <c r="F191" s="52"/>
    </row>
    <row r="192" spans="2:6" hidden="1" x14ac:dyDescent="0.2">
      <c r="B192" s="78" t="s">
        <v>376</v>
      </c>
      <c r="C192" s="77" t="s">
        <v>377</v>
      </c>
      <c r="D192" s="233" t="s">
        <v>83</v>
      </c>
      <c r="E192" s="52"/>
      <c r="F192" s="52"/>
    </row>
    <row r="193" spans="2:6" hidden="1" x14ac:dyDescent="0.2">
      <c r="B193" s="78" t="s">
        <v>378</v>
      </c>
      <c r="C193" s="77" t="s">
        <v>379</v>
      </c>
      <c r="D193" s="233" t="s">
        <v>83</v>
      </c>
      <c r="E193" s="52"/>
      <c r="F193" s="52"/>
    </row>
    <row r="194" spans="2:6" hidden="1" x14ac:dyDescent="0.2">
      <c r="B194" s="78" t="s">
        <v>380</v>
      </c>
      <c r="C194" s="77" t="s">
        <v>381</v>
      </c>
      <c r="D194" s="308" t="s">
        <v>83</v>
      </c>
      <c r="E194" s="52"/>
      <c r="F194" s="52"/>
    </row>
    <row r="195" spans="2:6" hidden="1" x14ac:dyDescent="0.2">
      <c r="B195" s="78" t="s">
        <v>382</v>
      </c>
      <c r="C195" s="77" t="s">
        <v>383</v>
      </c>
      <c r="D195" s="233" t="s">
        <v>83</v>
      </c>
      <c r="E195" s="52"/>
      <c r="F195" s="52"/>
    </row>
    <row r="196" spans="2:6" hidden="1" x14ac:dyDescent="0.2">
      <c r="B196" s="78" t="s">
        <v>384</v>
      </c>
      <c r="C196" s="77" t="s">
        <v>385</v>
      </c>
      <c r="D196" s="233" t="s">
        <v>83</v>
      </c>
      <c r="E196" s="52"/>
      <c r="F196" s="52"/>
    </row>
    <row r="197" spans="2:6" hidden="1" x14ac:dyDescent="0.2">
      <c r="B197" s="78" t="s">
        <v>386</v>
      </c>
      <c r="C197" s="77" t="s">
        <v>387</v>
      </c>
      <c r="D197" s="233" t="s">
        <v>83</v>
      </c>
      <c r="E197" s="52"/>
      <c r="F197" s="52"/>
    </row>
    <row r="198" spans="2:6" hidden="1" x14ac:dyDescent="0.2">
      <c r="B198" s="78" t="s">
        <v>388</v>
      </c>
      <c r="C198" s="77" t="s">
        <v>389</v>
      </c>
      <c r="D198" s="233" t="s">
        <v>1263</v>
      </c>
      <c r="E198" s="52"/>
      <c r="F198" s="52"/>
    </row>
    <row r="199" spans="2:6" hidden="1" x14ac:dyDescent="0.2">
      <c r="B199" s="78" t="s">
        <v>390</v>
      </c>
      <c r="C199" s="77" t="s">
        <v>391</v>
      </c>
      <c r="D199" s="308" t="s">
        <v>83</v>
      </c>
      <c r="E199" s="52"/>
      <c r="F199" s="52"/>
    </row>
    <row r="200" spans="2:6" hidden="1" x14ac:dyDescent="0.2">
      <c r="B200" s="78" t="s">
        <v>392</v>
      </c>
      <c r="C200" s="77" t="s">
        <v>393</v>
      </c>
      <c r="D200" s="233" t="s">
        <v>83</v>
      </c>
      <c r="E200" s="52"/>
      <c r="F200" s="52"/>
    </row>
    <row r="201" spans="2:6" hidden="1" x14ac:dyDescent="0.2">
      <c r="B201" s="78" t="s">
        <v>394</v>
      </c>
      <c r="C201" s="77" t="s">
        <v>395</v>
      </c>
      <c r="D201" s="308" t="s">
        <v>83</v>
      </c>
      <c r="E201" s="52"/>
      <c r="F201" s="52"/>
    </row>
    <row r="202" spans="2:6" hidden="1" x14ac:dyDescent="0.2">
      <c r="B202" s="75" t="s">
        <v>396</v>
      </c>
      <c r="C202" s="77" t="s">
        <v>397</v>
      </c>
      <c r="D202" s="234" t="s">
        <v>83</v>
      </c>
      <c r="E202" s="52"/>
      <c r="F202" s="52"/>
    </row>
    <row r="203" spans="2:6" hidden="1" x14ac:dyDescent="0.2">
      <c r="B203" s="78" t="s">
        <v>398</v>
      </c>
      <c r="C203" s="77" t="s">
        <v>399</v>
      </c>
      <c r="D203" s="233" t="s">
        <v>83</v>
      </c>
      <c r="E203" s="52"/>
      <c r="F203" s="52"/>
    </row>
    <row r="204" spans="2:6" hidden="1" x14ac:dyDescent="0.2">
      <c r="B204" s="78" t="s">
        <v>400</v>
      </c>
      <c r="C204" s="77" t="s">
        <v>401</v>
      </c>
      <c r="D204" s="233" t="s">
        <v>83</v>
      </c>
      <c r="E204" s="52"/>
      <c r="F204" s="52"/>
    </row>
    <row r="205" spans="2:6" hidden="1" x14ac:dyDescent="0.2">
      <c r="B205" s="78" t="s">
        <v>402</v>
      </c>
      <c r="C205" s="77" t="s">
        <v>403</v>
      </c>
      <c r="D205" s="233" t="s">
        <v>83</v>
      </c>
      <c r="E205" s="52"/>
      <c r="F205" s="52"/>
    </row>
    <row r="206" spans="2:6" hidden="1" x14ac:dyDescent="0.2">
      <c r="B206" s="78" t="s">
        <v>404</v>
      </c>
      <c r="C206" s="77" t="s">
        <v>1277</v>
      </c>
      <c r="D206" s="233" t="s">
        <v>1263</v>
      </c>
      <c r="E206" s="52"/>
      <c r="F206" s="52"/>
    </row>
    <row r="207" spans="2:6" hidden="1" x14ac:dyDescent="0.2">
      <c r="B207" s="78" t="s">
        <v>405</v>
      </c>
      <c r="C207" s="77" t="s">
        <v>406</v>
      </c>
      <c r="D207" s="308" t="s">
        <v>1263</v>
      </c>
      <c r="E207" s="52"/>
      <c r="F207" s="52"/>
    </row>
    <row r="208" spans="2:6" hidden="1" x14ac:dyDescent="0.2">
      <c r="B208" s="78" t="s">
        <v>407</v>
      </c>
      <c r="C208" s="77" t="s">
        <v>408</v>
      </c>
      <c r="D208" s="233" t="s">
        <v>83</v>
      </c>
      <c r="E208" s="52"/>
      <c r="F208" s="52"/>
    </row>
    <row r="209" spans="2:6" hidden="1" x14ac:dyDescent="0.2">
      <c r="B209" s="78" t="s">
        <v>409</v>
      </c>
      <c r="C209" s="77" t="s">
        <v>410</v>
      </c>
      <c r="D209" s="233" t="s">
        <v>1263</v>
      </c>
      <c r="E209" s="52"/>
      <c r="F209" s="52"/>
    </row>
    <row r="210" spans="2:6" hidden="1" x14ac:dyDescent="0.2">
      <c r="B210" s="78" t="s">
        <v>411</v>
      </c>
      <c r="C210" s="77" t="s">
        <v>412</v>
      </c>
      <c r="D210" s="233" t="s">
        <v>83</v>
      </c>
      <c r="E210" s="52"/>
      <c r="F210" s="52"/>
    </row>
    <row r="211" spans="2:6" hidden="1" x14ac:dyDescent="0.2">
      <c r="B211" s="78" t="s">
        <v>413</v>
      </c>
      <c r="C211" s="77" t="s">
        <v>414</v>
      </c>
      <c r="D211" s="233" t="s">
        <v>83</v>
      </c>
      <c r="E211" s="52"/>
      <c r="F211" s="52"/>
    </row>
    <row r="212" spans="2:6" hidden="1" x14ac:dyDescent="0.2">
      <c r="B212" s="78" t="s">
        <v>415</v>
      </c>
      <c r="C212" s="77" t="s">
        <v>416</v>
      </c>
      <c r="D212" s="233" t="s">
        <v>83</v>
      </c>
      <c r="E212" s="52"/>
      <c r="F212" s="52"/>
    </row>
    <row r="213" spans="2:6" hidden="1" x14ac:dyDescent="0.2">
      <c r="B213" s="78" t="s">
        <v>417</v>
      </c>
      <c r="C213" s="77" t="s">
        <v>418</v>
      </c>
      <c r="D213" s="233" t="s">
        <v>83</v>
      </c>
      <c r="E213" s="52"/>
      <c r="F213" s="52"/>
    </row>
    <row r="214" spans="2:6" hidden="1" x14ac:dyDescent="0.2">
      <c r="B214" s="78" t="s">
        <v>419</v>
      </c>
      <c r="C214" s="77" t="s">
        <v>420</v>
      </c>
      <c r="D214" s="233" t="s">
        <v>1263</v>
      </c>
      <c r="E214" s="52"/>
      <c r="F214" s="52"/>
    </row>
    <row r="215" spans="2:6" hidden="1" x14ac:dyDescent="0.2">
      <c r="B215" s="78" t="s">
        <v>421</v>
      </c>
      <c r="C215" s="77" t="s">
        <v>422</v>
      </c>
      <c r="D215" s="308" t="s">
        <v>83</v>
      </c>
      <c r="E215" s="52"/>
      <c r="F215" s="52"/>
    </row>
    <row r="216" spans="2:6" hidden="1" x14ac:dyDescent="0.2">
      <c r="B216" s="78" t="s">
        <v>423</v>
      </c>
      <c r="C216" s="77" t="s">
        <v>424</v>
      </c>
      <c r="D216" s="308" t="s">
        <v>83</v>
      </c>
      <c r="E216" s="52"/>
      <c r="F216" s="52"/>
    </row>
    <row r="217" spans="2:6" hidden="1" x14ac:dyDescent="0.2">
      <c r="B217" s="78" t="s">
        <v>425</v>
      </c>
      <c r="C217" s="77" t="s">
        <v>426</v>
      </c>
      <c r="D217" s="233" t="s">
        <v>83</v>
      </c>
      <c r="E217" s="52"/>
      <c r="F217" s="52"/>
    </row>
    <row r="218" spans="2:6" hidden="1" x14ac:dyDescent="0.2">
      <c r="B218" s="78" t="s">
        <v>427</v>
      </c>
      <c r="C218" s="77" t="s">
        <v>1278</v>
      </c>
      <c r="D218" s="308" t="s">
        <v>1263</v>
      </c>
      <c r="E218" s="52"/>
      <c r="F218" s="52"/>
    </row>
    <row r="219" spans="2:6" hidden="1" x14ac:dyDescent="0.2">
      <c r="B219" s="78" t="s">
        <v>428</v>
      </c>
      <c r="C219" s="77" t="s">
        <v>429</v>
      </c>
      <c r="D219" s="233" t="s">
        <v>83</v>
      </c>
      <c r="E219" s="52"/>
      <c r="F219" s="52"/>
    </row>
    <row r="220" spans="2:6" hidden="1" x14ac:dyDescent="0.2">
      <c r="B220" s="78" t="s">
        <v>430</v>
      </c>
      <c r="C220" s="77" t="s">
        <v>431</v>
      </c>
      <c r="D220" s="233" t="s">
        <v>83</v>
      </c>
      <c r="E220" s="52"/>
      <c r="F220" s="52"/>
    </row>
    <row r="221" spans="2:6" hidden="1" x14ac:dyDescent="0.2">
      <c r="B221" s="78" t="s">
        <v>432</v>
      </c>
      <c r="C221" s="77" t="s">
        <v>1279</v>
      </c>
      <c r="D221" s="233" t="s">
        <v>1263</v>
      </c>
      <c r="E221" s="52"/>
      <c r="F221" s="52"/>
    </row>
    <row r="222" spans="2:6" hidden="1" x14ac:dyDescent="0.2">
      <c r="B222" s="78" t="s">
        <v>433</v>
      </c>
      <c r="C222" s="77" t="s">
        <v>434</v>
      </c>
      <c r="D222" s="233" t="s">
        <v>83</v>
      </c>
      <c r="E222" s="52"/>
      <c r="F222" s="52"/>
    </row>
    <row r="223" spans="2:6" hidden="1" x14ac:dyDescent="0.2">
      <c r="B223" s="78" t="s">
        <v>435</v>
      </c>
      <c r="C223" s="77" t="s">
        <v>436</v>
      </c>
      <c r="D223" s="308" t="s">
        <v>83</v>
      </c>
      <c r="E223" s="52"/>
      <c r="F223" s="52"/>
    </row>
    <row r="224" spans="2:6" hidden="1" x14ac:dyDescent="0.2">
      <c r="B224" s="78" t="s">
        <v>437</v>
      </c>
      <c r="C224" s="77" t="s">
        <v>438</v>
      </c>
      <c r="D224" s="233" t="s">
        <v>83</v>
      </c>
      <c r="E224" s="52"/>
      <c r="F224" s="52"/>
    </row>
    <row r="225" spans="2:6" hidden="1" x14ac:dyDescent="0.2">
      <c r="B225" s="78" t="s">
        <v>439</v>
      </c>
      <c r="C225" s="77" t="s">
        <v>440</v>
      </c>
      <c r="D225" s="233" t="s">
        <v>83</v>
      </c>
      <c r="E225" s="52"/>
      <c r="F225" s="52"/>
    </row>
    <row r="226" spans="2:6" hidden="1" x14ac:dyDescent="0.2">
      <c r="B226" s="78" t="s">
        <v>441</v>
      </c>
      <c r="C226" s="77" t="s">
        <v>442</v>
      </c>
      <c r="D226" s="233" t="s">
        <v>1263</v>
      </c>
      <c r="E226" s="52"/>
      <c r="F226" s="52"/>
    </row>
    <row r="227" spans="2:6" hidden="1" x14ac:dyDescent="0.2">
      <c r="B227" s="78" t="s">
        <v>443</v>
      </c>
      <c r="C227" s="77" t="s">
        <v>444</v>
      </c>
      <c r="D227" s="308" t="s">
        <v>83</v>
      </c>
      <c r="E227" s="52"/>
      <c r="F227" s="52"/>
    </row>
    <row r="228" spans="2:6" hidden="1" x14ac:dyDescent="0.2">
      <c r="B228" s="78" t="s">
        <v>445</v>
      </c>
      <c r="C228" s="77" t="s">
        <v>446</v>
      </c>
      <c r="D228" s="233" t="s">
        <v>83</v>
      </c>
      <c r="E228" s="52"/>
      <c r="F228" s="52"/>
    </row>
    <row r="229" spans="2:6" hidden="1" x14ac:dyDescent="0.2">
      <c r="B229" s="78" t="s">
        <v>447</v>
      </c>
      <c r="C229" s="77" t="s">
        <v>448</v>
      </c>
      <c r="D229" s="233" t="s">
        <v>83</v>
      </c>
      <c r="E229" s="52"/>
      <c r="F229" s="52"/>
    </row>
    <row r="230" spans="2:6" hidden="1" x14ac:dyDescent="0.2">
      <c r="B230" s="78" t="s">
        <v>449</v>
      </c>
      <c r="C230" s="77" t="s">
        <v>450</v>
      </c>
      <c r="D230" s="308" t="s">
        <v>83</v>
      </c>
      <c r="E230" s="52"/>
      <c r="F230" s="52"/>
    </row>
    <row r="231" spans="2:6" hidden="1" x14ac:dyDescent="0.2">
      <c r="B231" s="78" t="s">
        <v>451</v>
      </c>
      <c r="C231" s="77" t="s">
        <v>452</v>
      </c>
      <c r="D231" s="233" t="s">
        <v>83</v>
      </c>
      <c r="E231" s="52"/>
      <c r="F231" s="52"/>
    </row>
    <row r="232" spans="2:6" hidden="1" x14ac:dyDescent="0.2">
      <c r="B232" s="78" t="s">
        <v>453</v>
      </c>
      <c r="C232" s="77" t="s">
        <v>454</v>
      </c>
      <c r="D232" s="233" t="s">
        <v>83</v>
      </c>
      <c r="E232" s="52"/>
      <c r="F232" s="52"/>
    </row>
    <row r="233" spans="2:6" hidden="1" x14ac:dyDescent="0.2">
      <c r="B233" s="78" t="s">
        <v>455</v>
      </c>
      <c r="C233" s="77" t="s">
        <v>456</v>
      </c>
      <c r="D233" s="233" t="s">
        <v>83</v>
      </c>
      <c r="E233" s="52"/>
      <c r="F233" s="52"/>
    </row>
    <row r="234" spans="2:6" hidden="1" x14ac:dyDescent="0.2">
      <c r="B234" s="78" t="s">
        <v>457</v>
      </c>
      <c r="C234" s="77" t="s">
        <v>458</v>
      </c>
      <c r="D234" s="233" t="s">
        <v>1263</v>
      </c>
      <c r="E234" s="52"/>
      <c r="F234" s="52"/>
    </row>
    <row r="235" spans="2:6" hidden="1" x14ac:dyDescent="0.2">
      <c r="B235" s="78" t="s">
        <v>459</v>
      </c>
      <c r="C235" s="77" t="s">
        <v>460</v>
      </c>
      <c r="D235" s="308" t="s">
        <v>1263</v>
      </c>
      <c r="E235" s="52"/>
      <c r="F235" s="52"/>
    </row>
    <row r="236" spans="2:6" hidden="1" x14ac:dyDescent="0.2">
      <c r="B236" s="78" t="s">
        <v>461</v>
      </c>
      <c r="C236" s="77" t="s">
        <v>462</v>
      </c>
      <c r="D236" s="233" t="s">
        <v>83</v>
      </c>
      <c r="E236" s="52"/>
      <c r="F236" s="52"/>
    </row>
    <row r="237" spans="2:6" hidden="1" x14ac:dyDescent="0.2">
      <c r="B237" s="78" t="s">
        <v>463</v>
      </c>
      <c r="C237" s="77" t="s">
        <v>464</v>
      </c>
      <c r="D237" s="233" t="s">
        <v>83</v>
      </c>
      <c r="E237" s="52"/>
      <c r="F237" s="52"/>
    </row>
    <row r="238" spans="2:6" hidden="1" x14ac:dyDescent="0.2">
      <c r="B238" s="78" t="s">
        <v>465</v>
      </c>
      <c r="C238" s="77" t="s">
        <v>1280</v>
      </c>
      <c r="D238" s="233" t="s">
        <v>83</v>
      </c>
      <c r="E238" s="52"/>
      <c r="F238" s="52"/>
    </row>
    <row r="239" spans="2:6" hidden="1" x14ac:dyDescent="0.2">
      <c r="B239" s="78" t="s">
        <v>466</v>
      </c>
      <c r="C239" s="77" t="s">
        <v>1292</v>
      </c>
      <c r="D239" s="233" t="s">
        <v>1263</v>
      </c>
      <c r="E239" s="52"/>
      <c r="F239" s="52"/>
    </row>
    <row r="240" spans="2:6" hidden="1" x14ac:dyDescent="0.2">
      <c r="B240" s="78" t="s">
        <v>467</v>
      </c>
      <c r="C240" s="77" t="s">
        <v>468</v>
      </c>
      <c r="D240" s="233" t="s">
        <v>1263</v>
      </c>
      <c r="E240" s="52"/>
      <c r="F240" s="52"/>
    </row>
    <row r="241" spans="2:6" hidden="1" x14ac:dyDescent="0.2">
      <c r="B241" s="78" t="s">
        <v>469</v>
      </c>
      <c r="C241" s="77" t="s">
        <v>470</v>
      </c>
      <c r="D241" s="233" t="s">
        <v>83</v>
      </c>
      <c r="E241" s="52"/>
      <c r="F241" s="52"/>
    </row>
    <row r="242" spans="2:6" hidden="1" x14ac:dyDescent="0.2">
      <c r="B242" s="78" t="s">
        <v>471</v>
      </c>
      <c r="C242" s="77" t="s">
        <v>472</v>
      </c>
      <c r="D242" s="233" t="s">
        <v>83</v>
      </c>
      <c r="E242" s="52"/>
      <c r="F242" s="52"/>
    </row>
    <row r="243" spans="2:6" hidden="1" x14ac:dyDescent="0.2">
      <c r="B243" s="78" t="s">
        <v>473</v>
      </c>
      <c r="C243" s="77" t="s">
        <v>1281</v>
      </c>
      <c r="D243" s="233" t="s">
        <v>1263</v>
      </c>
      <c r="E243" s="52"/>
      <c r="F243" s="52"/>
    </row>
    <row r="244" spans="2:6" hidden="1" x14ac:dyDescent="0.2">
      <c r="B244" s="78" t="s">
        <v>474</v>
      </c>
      <c r="C244" s="77" t="s">
        <v>475</v>
      </c>
      <c r="D244" s="308" t="s">
        <v>83</v>
      </c>
      <c r="E244" s="52"/>
      <c r="F244" s="52"/>
    </row>
    <row r="245" spans="2:6" hidden="1" x14ac:dyDescent="0.2">
      <c r="B245" s="78" t="s">
        <v>476</v>
      </c>
      <c r="C245" s="77" t="s">
        <v>477</v>
      </c>
      <c r="D245" s="308" t="s">
        <v>83</v>
      </c>
      <c r="E245" s="52"/>
      <c r="F245" s="52"/>
    </row>
    <row r="246" spans="2:6" hidden="1" x14ac:dyDescent="0.2">
      <c r="B246" s="78" t="s">
        <v>478</v>
      </c>
      <c r="C246" s="77" t="s">
        <v>479</v>
      </c>
      <c r="D246" s="233" t="s">
        <v>83</v>
      </c>
      <c r="E246" s="52"/>
      <c r="F246" s="52"/>
    </row>
    <row r="247" spans="2:6" hidden="1" x14ac:dyDescent="0.2">
      <c r="B247" s="78" t="s">
        <v>480</v>
      </c>
      <c r="C247" s="77" t="s">
        <v>481</v>
      </c>
      <c r="D247" s="233" t="s">
        <v>1263</v>
      </c>
      <c r="E247" s="52"/>
      <c r="F247" s="52"/>
    </row>
    <row r="248" spans="2:6" hidden="1" x14ac:dyDescent="0.2">
      <c r="B248" s="78" t="s">
        <v>482</v>
      </c>
      <c r="C248" s="77" t="s">
        <v>483</v>
      </c>
      <c r="D248" s="233" t="s">
        <v>1263</v>
      </c>
      <c r="E248" s="52"/>
      <c r="F248" s="52"/>
    </row>
    <row r="249" spans="2:6" hidden="1" x14ac:dyDescent="0.2">
      <c r="B249" s="78" t="s">
        <v>484</v>
      </c>
      <c r="C249" s="77" t="s">
        <v>485</v>
      </c>
      <c r="D249" s="308" t="s">
        <v>1263</v>
      </c>
      <c r="E249" s="52"/>
      <c r="F249" s="52"/>
    </row>
    <row r="250" spans="2:6" hidden="1" x14ac:dyDescent="0.2">
      <c r="B250" s="78" t="s">
        <v>486</v>
      </c>
      <c r="C250" s="77" t="s">
        <v>487</v>
      </c>
      <c r="D250" s="308" t="s">
        <v>1263</v>
      </c>
      <c r="E250" s="52"/>
      <c r="F250" s="52"/>
    </row>
    <row r="251" spans="2:6" hidden="1" x14ac:dyDescent="0.2">
      <c r="B251" s="78" t="s">
        <v>488</v>
      </c>
      <c r="C251" s="77" t="s">
        <v>489</v>
      </c>
      <c r="D251" s="233" t="s">
        <v>83</v>
      </c>
      <c r="E251" s="52"/>
      <c r="F251" s="52"/>
    </row>
    <row r="252" spans="2:6" hidden="1" x14ac:dyDescent="0.2">
      <c r="B252" s="78" t="s">
        <v>490</v>
      </c>
      <c r="C252" s="77" t="s">
        <v>1282</v>
      </c>
      <c r="D252" s="308" t="s">
        <v>83</v>
      </c>
      <c r="E252" s="52"/>
      <c r="F252" s="52"/>
    </row>
    <row r="253" spans="2:6" hidden="1" x14ac:dyDescent="0.2">
      <c r="B253" s="78" t="s">
        <v>491</v>
      </c>
      <c r="C253" s="77" t="s">
        <v>492</v>
      </c>
      <c r="D253" s="233" t="s">
        <v>1263</v>
      </c>
      <c r="E253" s="52"/>
      <c r="F253" s="52"/>
    </row>
    <row r="254" spans="2:6" hidden="1" x14ac:dyDescent="0.2">
      <c r="B254" s="52"/>
      <c r="C254" s="52"/>
      <c r="D254" s="52"/>
      <c r="E254" s="52"/>
      <c r="F254" s="52"/>
    </row>
  </sheetData>
  <sortState xmlns:xlrd2="http://schemas.microsoft.com/office/spreadsheetml/2017/richdata2" ref="B38:D253">
    <sortCondition ref="B38:B253"/>
  </sortState>
  <customSheetViews>
    <customSheetView guid="{EDC1BD6E-863A-4FC6-A3A9-F32079F4F0C1}" showGridLines="0" hiddenRows="1">
      <selection activeCell="C28" sqref="C28"/>
      <pageMargins left="0" right="0" top="0" bottom="0" header="0" footer="0"/>
      <pageSetup paperSize="9" orientation="portrait" verticalDpi="0" r:id="rId1"/>
      <headerFooter>
        <oddHeader>&amp;LINSERT YOUR NHS Foundation Trust&amp;RStatement of accounts 2014/15</oddHeader>
      </headerFooter>
    </customSheetView>
  </customSheetViews>
  <mergeCells count="2">
    <mergeCell ref="B28:C28"/>
    <mergeCell ref="B4:C4"/>
  </mergeCells>
  <dataValidations count="1">
    <dataValidation type="list" allowBlank="1" showInputMessage="1" showErrorMessage="1" sqref="C8" xr:uid="{00000000-0002-0000-0100-000000000000}">
      <formula1>$B$38:$B$253</formula1>
    </dataValidation>
  </dataValidations>
  <pageMargins left="0.7" right="0.7" top="0.75" bottom="0.75" header="0.3" footer="0.3"/>
  <pageSetup paperSize="9" orientation="portrait" verticalDpi="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F53"/>
  <sheetViews>
    <sheetView showGridLines="0" zoomScaleNormal="100" workbookViewId="0">
      <selection activeCell="C37" sqref="C37:E37"/>
    </sheetView>
  </sheetViews>
  <sheetFormatPr defaultColWidth="9.140625" defaultRowHeight="14.1" customHeight="1" x14ac:dyDescent="0.25"/>
  <cols>
    <col min="1" max="1" width="1.140625" style="39" customWidth="1"/>
    <col min="2" max="2" width="62.140625" style="16" customWidth="1"/>
    <col min="3" max="3" width="11.42578125" customWidth="1"/>
    <col min="4" max="4" width="1.140625" style="33" customWidth="1"/>
    <col min="5" max="5" width="11.42578125" customWidth="1"/>
  </cols>
  <sheetData>
    <row r="1" spans="1:5" s="317" customFormat="1" ht="14.1" customHeight="1" x14ac:dyDescent="0.25">
      <c r="A1" s="350" t="s">
        <v>1310</v>
      </c>
      <c r="B1" s="351"/>
      <c r="C1" s="351"/>
      <c r="D1" s="351"/>
      <c r="E1" s="351"/>
    </row>
    <row r="2" spans="1:5" s="317" customFormat="1" ht="14.1" customHeight="1" x14ac:dyDescent="0.25">
      <c r="A2" s="177"/>
      <c r="B2" s="313"/>
      <c r="D2" s="33"/>
    </row>
    <row r="3" spans="1:5" ht="14.1" customHeight="1" x14ac:dyDescent="0.25">
      <c r="A3" s="177">
        <f>ROUNDDOWN('Operating Segments'!A3,0)+1</f>
        <v>3</v>
      </c>
      <c r="B3" s="316" t="str">
        <f>"Note " &amp;A3 &amp; " Operating income from patient care activities (Group)"</f>
        <v>Note 3 Operating income from patient care activities (Group)</v>
      </c>
      <c r="C3" s="317"/>
      <c r="E3" s="317"/>
    </row>
    <row r="4" spans="1:5" s="240" customFormat="1" ht="14.1" customHeight="1" x14ac:dyDescent="0.25">
      <c r="A4" s="177"/>
      <c r="B4" s="248" t="str">
        <f>"All income from patient care activities relates to contract income recognised in line with accounting policy 1."&amp;'Acc''g policies 2'!A3</f>
        <v>All income from patient care activities relates to contract income recognised in line with accounting policy 1.4</v>
      </c>
      <c r="C4" s="317"/>
      <c r="D4" s="33"/>
      <c r="E4" s="317"/>
    </row>
    <row r="5" spans="1:5" s="31" customFormat="1" ht="14.1" customHeight="1" x14ac:dyDescent="0.25">
      <c r="A5" s="177"/>
      <c r="B5" s="316"/>
      <c r="C5" s="458"/>
      <c r="D5" s="458"/>
      <c r="E5" s="458"/>
    </row>
    <row r="6" spans="1:5" ht="14.1" customHeight="1" x14ac:dyDescent="0.25">
      <c r="A6" s="37">
        <f>'Op Inc'!A3+0.1</f>
        <v>3.1</v>
      </c>
      <c r="B6" s="18" t="str">
        <f>"Note "&amp;A6 &amp;" Income from patient care activities (by nature)"</f>
        <v>Note 3.1 Income from patient care activities (by nature)</v>
      </c>
      <c r="C6" s="290" t="str">
        <f>CurrentFY</f>
        <v>2021/22</v>
      </c>
      <c r="D6" s="290"/>
      <c r="E6" s="290" t="str">
        <f>ComparativeFY</f>
        <v>2020/21</v>
      </c>
    </row>
    <row r="7" spans="1:5" ht="14.1" customHeight="1" x14ac:dyDescent="0.25">
      <c r="A7" s="177"/>
      <c r="B7" s="101"/>
      <c r="C7" s="290" t="s">
        <v>590</v>
      </c>
      <c r="D7" s="290"/>
      <c r="E7" s="290" t="s">
        <v>590</v>
      </c>
    </row>
    <row r="8" spans="1:5" ht="14.1" customHeight="1" x14ac:dyDescent="0.25">
      <c r="A8" s="177"/>
      <c r="B8" s="116"/>
      <c r="C8" s="24"/>
      <c r="D8" s="23"/>
      <c r="E8" s="24"/>
    </row>
    <row r="9" spans="1:5" ht="14.1" customHeight="1" x14ac:dyDescent="0.25">
      <c r="A9" s="177"/>
      <c r="B9" s="130" t="s">
        <v>1306</v>
      </c>
      <c r="C9" s="219">
        <v>194216</v>
      </c>
      <c r="D9" s="219"/>
      <c r="E9" s="219">
        <v>181081</v>
      </c>
    </row>
    <row r="10" spans="1:5" s="31" customFormat="1" ht="13.7" customHeight="1" x14ac:dyDescent="0.25">
      <c r="A10" s="177"/>
      <c r="B10" s="130" t="s">
        <v>771</v>
      </c>
      <c r="C10" s="219">
        <v>2689</v>
      </c>
      <c r="D10" s="219"/>
      <c r="E10" s="219">
        <v>580</v>
      </c>
    </row>
    <row r="11" spans="1:5" ht="14.1" hidden="1" customHeight="1" x14ac:dyDescent="0.25">
      <c r="A11" s="177"/>
      <c r="B11" s="130" t="s">
        <v>772</v>
      </c>
      <c r="C11" s="219">
        <v>0</v>
      </c>
      <c r="D11" s="219"/>
      <c r="E11" s="219">
        <v>0</v>
      </c>
    </row>
    <row r="12" spans="1:5" ht="14.1" hidden="1" customHeight="1" x14ac:dyDescent="0.25">
      <c r="A12" s="177"/>
      <c r="B12" s="116" t="s">
        <v>773</v>
      </c>
      <c r="C12" s="219"/>
      <c r="D12" s="219"/>
      <c r="E12" s="219"/>
    </row>
    <row r="13" spans="1:5" s="31" customFormat="1" ht="14.1" hidden="1" customHeight="1" x14ac:dyDescent="0.25">
      <c r="A13" s="177"/>
      <c r="B13" s="130" t="s">
        <v>1306</v>
      </c>
      <c r="C13" s="219">
        <v>0</v>
      </c>
      <c r="D13" s="219"/>
      <c r="E13" s="219">
        <v>0</v>
      </c>
    </row>
    <row r="14" spans="1:5" s="317" customFormat="1" ht="14.1" hidden="1" customHeight="1" x14ac:dyDescent="0.25">
      <c r="A14" s="177"/>
      <c r="B14" s="130" t="s">
        <v>1298</v>
      </c>
      <c r="C14" s="219">
        <v>0</v>
      </c>
      <c r="D14" s="219"/>
      <c r="E14" s="219">
        <v>0</v>
      </c>
    </row>
    <row r="15" spans="1:5" s="317" customFormat="1" ht="14.1" hidden="1" customHeight="1" x14ac:dyDescent="0.25">
      <c r="A15" s="177"/>
      <c r="B15" s="130" t="s">
        <v>1299</v>
      </c>
      <c r="C15" s="219">
        <v>0</v>
      </c>
      <c r="D15" s="219"/>
      <c r="E15" s="219">
        <v>0</v>
      </c>
    </row>
    <row r="16" spans="1:5" ht="13.7" hidden="1" customHeight="1" x14ac:dyDescent="0.25">
      <c r="A16" s="177"/>
      <c r="B16" s="227" t="s">
        <v>774</v>
      </c>
      <c r="C16" s="219">
        <v>0</v>
      </c>
      <c r="D16" s="219"/>
      <c r="E16" s="219">
        <v>0</v>
      </c>
    </row>
    <row r="17" spans="1:6" s="31" customFormat="1" ht="14.1" hidden="1" customHeight="1" x14ac:dyDescent="0.25">
      <c r="A17" s="177"/>
      <c r="B17" s="130" t="s">
        <v>775</v>
      </c>
      <c r="C17" s="219">
        <v>0</v>
      </c>
      <c r="D17" s="219"/>
      <c r="E17" s="219">
        <v>0</v>
      </c>
    </row>
    <row r="18" spans="1:6" ht="14.1" hidden="1" customHeight="1" x14ac:dyDescent="0.25">
      <c r="A18" s="177"/>
      <c r="B18" s="130" t="s">
        <v>776</v>
      </c>
      <c r="C18" s="219">
        <v>0</v>
      </c>
      <c r="D18" s="219"/>
      <c r="E18" s="219">
        <v>0</v>
      </c>
    </row>
    <row r="19" spans="1:6" ht="14.1" hidden="1" customHeight="1" x14ac:dyDescent="0.25">
      <c r="A19" s="177"/>
      <c r="B19" s="116" t="s">
        <v>777</v>
      </c>
      <c r="C19" s="219"/>
      <c r="D19" s="219"/>
      <c r="E19" s="219"/>
    </row>
    <row r="20" spans="1:6" ht="14.1" hidden="1" customHeight="1" x14ac:dyDescent="0.25">
      <c r="A20" s="177"/>
      <c r="B20" s="130" t="s">
        <v>778</v>
      </c>
      <c r="C20" s="219">
        <v>0</v>
      </c>
      <c r="D20" s="219"/>
      <c r="E20" s="219">
        <v>0</v>
      </c>
    </row>
    <row r="21" spans="1:6" ht="14.1" hidden="1" customHeight="1" x14ac:dyDescent="0.25">
      <c r="A21" s="177"/>
      <c r="B21" s="130" t="s">
        <v>779</v>
      </c>
      <c r="C21" s="219">
        <v>0</v>
      </c>
      <c r="D21" s="219"/>
      <c r="E21" s="219">
        <v>0</v>
      </c>
      <c r="F21" s="317"/>
    </row>
    <row r="22" spans="1:6" ht="14.1" hidden="1" customHeight="1" x14ac:dyDescent="0.25">
      <c r="A22" s="177"/>
      <c r="B22" s="130" t="s">
        <v>780</v>
      </c>
      <c r="C22" s="219">
        <v>0</v>
      </c>
      <c r="D22" s="219"/>
      <c r="E22" s="219">
        <v>0</v>
      </c>
      <c r="F22" s="317"/>
    </row>
    <row r="23" spans="1:6" ht="14.1" hidden="1" customHeight="1" x14ac:dyDescent="0.25">
      <c r="A23" s="177"/>
      <c r="B23" s="48" t="s">
        <v>781</v>
      </c>
      <c r="C23" s="219"/>
      <c r="D23" s="219"/>
      <c r="E23" s="219"/>
      <c r="F23" s="317"/>
    </row>
    <row r="24" spans="1:6" ht="14.1" hidden="1" customHeight="1" x14ac:dyDescent="0.25">
      <c r="A24" s="177"/>
      <c r="B24" s="130" t="s">
        <v>1306</v>
      </c>
      <c r="C24" s="219">
        <v>0</v>
      </c>
      <c r="D24" s="219"/>
      <c r="E24" s="219">
        <v>0</v>
      </c>
      <c r="F24" s="317"/>
    </row>
    <row r="25" spans="1:6" ht="14.1" hidden="1" customHeight="1" x14ac:dyDescent="0.25">
      <c r="A25" s="177"/>
      <c r="B25" s="130" t="s">
        <v>782</v>
      </c>
      <c r="C25" s="219">
        <v>0</v>
      </c>
      <c r="D25" s="219"/>
      <c r="E25" s="219">
        <v>0</v>
      </c>
      <c r="F25" s="317"/>
    </row>
    <row r="26" spans="1:6" ht="14.1" hidden="1" customHeight="1" x14ac:dyDescent="0.25">
      <c r="A26" s="177"/>
      <c r="B26" s="115" t="s">
        <v>783</v>
      </c>
      <c r="C26" s="219"/>
      <c r="D26" s="219"/>
      <c r="E26" s="219"/>
      <c r="F26" s="317"/>
    </row>
    <row r="27" spans="1:6" ht="14.1" customHeight="1" x14ac:dyDescent="0.25">
      <c r="A27" s="177"/>
      <c r="B27" s="130" t="s">
        <v>784</v>
      </c>
      <c r="C27" s="219">
        <v>37194</v>
      </c>
      <c r="D27" s="219"/>
      <c r="E27" s="219">
        <v>24341</v>
      </c>
      <c r="F27" s="317"/>
    </row>
    <row r="28" spans="1:6" s="317" customFormat="1" ht="14.1" customHeight="1" x14ac:dyDescent="0.25">
      <c r="A28" s="177"/>
      <c r="B28" s="130" t="s">
        <v>1283</v>
      </c>
      <c r="C28" s="219">
        <v>4573</v>
      </c>
      <c r="D28" s="219"/>
      <c r="E28" s="219">
        <v>0</v>
      </c>
    </row>
    <row r="29" spans="1:6" s="269" customFormat="1" ht="14.1" customHeight="1" x14ac:dyDescent="0.25">
      <c r="A29" s="177"/>
      <c r="B29" s="130" t="s">
        <v>1307</v>
      </c>
      <c r="C29" s="219">
        <v>5065</v>
      </c>
      <c r="D29" s="219"/>
      <c r="E29" s="219">
        <v>4867</v>
      </c>
      <c r="F29" s="317"/>
    </row>
    <row r="30" spans="1:6" ht="14.1" customHeight="1" x14ac:dyDescent="0.25">
      <c r="A30" s="177"/>
      <c r="B30" s="130" t="s">
        <v>785</v>
      </c>
      <c r="C30" s="219">
        <v>9242</v>
      </c>
      <c r="D30" s="219"/>
      <c r="E30" s="219">
        <v>7034</v>
      </c>
      <c r="F30" s="317"/>
    </row>
    <row r="31" spans="1:6" ht="14.1" customHeight="1" thickBot="1" x14ac:dyDescent="0.3">
      <c r="A31" s="177"/>
      <c r="B31" s="114" t="s">
        <v>786</v>
      </c>
      <c r="C31" s="206">
        <f>SUM(C8:C30)</f>
        <v>252979</v>
      </c>
      <c r="D31" s="219"/>
      <c r="E31" s="206">
        <f>SUM(E8:E30)</f>
        <v>217903</v>
      </c>
      <c r="F31" s="317"/>
    </row>
    <row r="32" spans="1:6" ht="9.75" customHeight="1" thickTop="1" x14ac:dyDescent="0.25">
      <c r="A32" s="177"/>
      <c r="B32" s="313"/>
      <c r="C32" s="24"/>
      <c r="D32" s="23"/>
      <c r="E32" s="24"/>
      <c r="F32" s="317"/>
    </row>
    <row r="33" spans="1:6" s="280" customFormat="1" ht="50.25" customHeight="1" x14ac:dyDescent="0.25">
      <c r="A33" s="177"/>
      <c r="B33" s="459" t="s">
        <v>1305</v>
      </c>
      <c r="C33" s="459"/>
      <c r="D33" s="459"/>
      <c r="E33" s="459"/>
      <c r="F33" s="83"/>
    </row>
    <row r="34" spans="1:6" s="31" customFormat="1" ht="14.1" customHeight="1" x14ac:dyDescent="0.25">
      <c r="A34" s="177"/>
      <c r="B34" s="116"/>
      <c r="C34" s="317"/>
      <c r="D34" s="33"/>
      <c r="E34" s="317"/>
      <c r="F34" s="83"/>
    </row>
    <row r="35" spans="1:6" s="3" customFormat="1" ht="14.1" customHeight="1" x14ac:dyDescent="0.25">
      <c r="A35" s="37">
        <f>'Op Inc'!A6+0.1</f>
        <v>3.2</v>
      </c>
      <c r="B35" s="18" t="str">
        <f>"Note "&amp;A35 &amp;" Income from patient care activities (by source)"</f>
        <v>Note 3.2 Income from patient care activities (by source)</v>
      </c>
      <c r="C35" s="222"/>
      <c r="D35" s="2"/>
      <c r="E35" s="222"/>
      <c r="F35" s="83"/>
    </row>
    <row r="36" spans="1:6" s="3" customFormat="1" ht="14.1" customHeight="1" x14ac:dyDescent="0.25">
      <c r="A36" s="37"/>
      <c r="B36" s="18"/>
      <c r="C36" s="290" t="str">
        <f>CurrentFY</f>
        <v>2021/22</v>
      </c>
      <c r="D36" s="290"/>
      <c r="E36" s="290" t="str">
        <f>ComparativeFY</f>
        <v>2020/21</v>
      </c>
      <c r="F36" s="83"/>
    </row>
    <row r="37" spans="1:6" s="3" customFormat="1" ht="14.1" customHeight="1" x14ac:dyDescent="0.25">
      <c r="A37" s="37"/>
      <c r="B37" s="6" t="s">
        <v>787</v>
      </c>
      <c r="C37" s="290" t="s">
        <v>590</v>
      </c>
      <c r="D37" s="290"/>
      <c r="E37" s="290" t="s">
        <v>590</v>
      </c>
      <c r="F37" s="83"/>
    </row>
    <row r="38" spans="1:6" s="3" customFormat="1" ht="14.1" customHeight="1" x14ac:dyDescent="0.25">
      <c r="A38" s="37"/>
      <c r="B38" s="327" t="s">
        <v>788</v>
      </c>
      <c r="C38" s="219">
        <v>31002</v>
      </c>
      <c r="D38" s="219"/>
      <c r="E38" s="219">
        <v>24826</v>
      </c>
      <c r="F38" s="83"/>
    </row>
    <row r="39" spans="1:6" s="201" customFormat="1" ht="14.1" customHeight="1" x14ac:dyDescent="0.2">
      <c r="A39" s="37"/>
      <c r="B39" s="327" t="s">
        <v>789</v>
      </c>
      <c r="C39" s="219">
        <v>175541</v>
      </c>
      <c r="D39" s="219"/>
      <c r="E39" s="219">
        <v>162464</v>
      </c>
      <c r="F39" s="222"/>
    </row>
    <row r="40" spans="1:6" s="3" customFormat="1" ht="14.1" hidden="1" customHeight="1" x14ac:dyDescent="0.2">
      <c r="A40" s="37"/>
      <c r="B40" s="327" t="s">
        <v>790</v>
      </c>
      <c r="C40" s="219">
        <v>0</v>
      </c>
      <c r="D40" s="219"/>
      <c r="E40" s="219">
        <v>0</v>
      </c>
      <c r="F40" s="222"/>
    </row>
    <row r="41" spans="1:6" s="3" customFormat="1" ht="14.1" customHeight="1" x14ac:dyDescent="0.2">
      <c r="A41" s="37"/>
      <c r="B41" s="327" t="s">
        <v>791</v>
      </c>
      <c r="C41" s="219">
        <v>8965</v>
      </c>
      <c r="D41" s="219"/>
      <c r="E41" s="219">
        <v>5930</v>
      </c>
      <c r="F41" s="222"/>
    </row>
    <row r="42" spans="1:6" s="3" customFormat="1" ht="14.1" hidden="1" customHeight="1" x14ac:dyDescent="0.2">
      <c r="A42" s="37"/>
      <c r="B42" s="327" t="s">
        <v>792</v>
      </c>
      <c r="C42" s="219">
        <v>0</v>
      </c>
      <c r="D42" s="219"/>
      <c r="E42" s="219">
        <v>0</v>
      </c>
      <c r="F42" s="222"/>
    </row>
    <row r="43" spans="1:6" s="3" customFormat="1" ht="14.1" hidden="1" customHeight="1" x14ac:dyDescent="0.2">
      <c r="A43" s="37"/>
      <c r="B43" s="327" t="s">
        <v>793</v>
      </c>
      <c r="C43" s="219">
        <v>0</v>
      </c>
      <c r="D43" s="219"/>
      <c r="E43" s="219">
        <v>0</v>
      </c>
      <c r="F43" s="222"/>
    </row>
    <row r="44" spans="1:6" s="3" customFormat="1" ht="14.1" customHeight="1" x14ac:dyDescent="0.2">
      <c r="A44" s="37"/>
      <c r="B44" s="327" t="s">
        <v>794</v>
      </c>
      <c r="C44" s="219">
        <v>37194</v>
      </c>
      <c r="D44" s="219"/>
      <c r="E44" s="219">
        <v>24341</v>
      </c>
      <c r="F44" s="222"/>
    </row>
    <row r="45" spans="1:6" s="3" customFormat="1" ht="14.1" customHeight="1" x14ac:dyDescent="0.2">
      <c r="A45" s="37"/>
      <c r="B45" s="327" t="s">
        <v>795</v>
      </c>
      <c r="C45" s="219">
        <v>97</v>
      </c>
      <c r="D45" s="219"/>
      <c r="E45" s="219">
        <v>67</v>
      </c>
      <c r="F45" s="222"/>
    </row>
    <row r="46" spans="1:6" s="3" customFormat="1" ht="14.1" customHeight="1" x14ac:dyDescent="0.2">
      <c r="A46" s="37"/>
      <c r="B46" s="130" t="s">
        <v>796</v>
      </c>
      <c r="C46" s="219">
        <v>12</v>
      </c>
      <c r="D46" s="219"/>
      <c r="E46" s="219">
        <v>40</v>
      </c>
      <c r="F46" s="222"/>
    </row>
    <row r="47" spans="1:6" s="3" customFormat="1" ht="14.1" customHeight="1" x14ac:dyDescent="0.2">
      <c r="A47" s="37"/>
      <c r="B47" s="327" t="s">
        <v>797</v>
      </c>
      <c r="C47" s="219">
        <v>168</v>
      </c>
      <c r="D47" s="219"/>
      <c r="E47" s="219">
        <v>235</v>
      </c>
      <c r="F47" s="222"/>
    </row>
    <row r="48" spans="1:6" s="3" customFormat="1" ht="14.1" customHeight="1" thickBot="1" x14ac:dyDescent="0.25">
      <c r="A48" s="37"/>
      <c r="B48" s="113" t="s">
        <v>786</v>
      </c>
      <c r="C48" s="206">
        <f>SUM(C38:C47)</f>
        <v>252979</v>
      </c>
      <c r="D48" s="219"/>
      <c r="E48" s="206">
        <f>SUM(E38:E47)</f>
        <v>217903</v>
      </c>
      <c r="F48" s="222"/>
    </row>
    <row r="49" spans="1:6" s="3" customFormat="1" ht="14.1" hidden="1" customHeight="1" thickTop="1" x14ac:dyDescent="0.2">
      <c r="A49" s="37"/>
      <c r="B49" s="113" t="s">
        <v>798</v>
      </c>
      <c r="C49" s="24"/>
      <c r="D49" s="23"/>
      <c r="E49" s="24"/>
      <c r="F49" s="222"/>
    </row>
    <row r="50" spans="1:6" s="3" customFormat="1" ht="14.1" hidden="1" customHeight="1" x14ac:dyDescent="0.2">
      <c r="A50" s="37"/>
      <c r="B50" s="327" t="s">
        <v>799</v>
      </c>
      <c r="C50" s="219">
        <v>252979</v>
      </c>
      <c r="D50" s="219"/>
      <c r="E50" s="219">
        <v>217903</v>
      </c>
      <c r="F50" s="222"/>
    </row>
    <row r="51" spans="1:6" s="3" customFormat="1" ht="14.1" hidden="1" customHeight="1" x14ac:dyDescent="0.2">
      <c r="A51" s="37"/>
      <c r="B51" s="327" t="s">
        <v>800</v>
      </c>
      <c r="C51" s="219">
        <v>0</v>
      </c>
      <c r="D51" s="219"/>
      <c r="E51" s="219">
        <v>0</v>
      </c>
      <c r="F51" s="222"/>
    </row>
    <row r="52" spans="1:6" s="3" customFormat="1" ht="14.1" customHeight="1" thickTop="1" x14ac:dyDescent="0.2">
      <c r="A52" s="37"/>
      <c r="B52" s="13"/>
      <c r="C52" s="219"/>
      <c r="D52" s="219"/>
      <c r="E52" s="219"/>
      <c r="F52" s="222"/>
    </row>
    <row r="53" spans="1:6" s="3" customFormat="1" ht="14.1" customHeight="1" x14ac:dyDescent="0.2">
      <c r="A53" s="37"/>
      <c r="B53" s="222"/>
      <c r="C53" s="222"/>
      <c r="D53" s="2"/>
      <c r="E53" s="222"/>
    </row>
  </sheetData>
  <customSheetViews>
    <customSheetView guid="{EDC1BD6E-863A-4FC6-A3A9-F32079F4F0C1}">
      <selection activeCell="K10" sqref="K10"/>
      <pageMargins left="0" right="0" top="0" bottom="0" header="0" footer="0"/>
      <pageSetup paperSize="9" orientation="portrait" verticalDpi="0" r:id="rId1"/>
      <headerFooter>
        <oddHeader>&amp;LINSERT YOUR NHS Foundation Trust&amp;RStatement of accounts 2014/15</oddHeader>
      </headerFooter>
    </customSheetView>
  </customSheetViews>
  <mergeCells count="2">
    <mergeCell ref="C5:E5"/>
    <mergeCell ref="B33:E33"/>
  </mergeCells>
  <pageMargins left="0.70866141732283472" right="0.70866141732283472" top="0.74803149606299213" bottom="0.74803149606299213" header="0.31496062992125984" footer="0.31496062992125984"/>
  <pageSetup paperSize="9" scale="99" fitToHeight="0" orientation="portrait" verticalDpi="0" r:id="rId2"/>
  <headerFooter>
    <oddFooter>&amp;RPage &amp;P of &amp;N</oddFooter>
  </headerFooter>
  <ignoredErrors>
    <ignoredError sqref="C7:E7 C37:E37"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50517-6B07-49D6-AAF8-7D088B757096}">
  <sheetPr codeName="Sheet59">
    <tabColor theme="8" tint="0.39997558519241921"/>
    <pageSetUpPr fitToPage="1"/>
  </sheetPr>
  <dimension ref="A1:F66"/>
  <sheetViews>
    <sheetView showGridLines="0" zoomScaleNormal="100" workbookViewId="0">
      <selection activeCell="G48" sqref="G48"/>
    </sheetView>
  </sheetViews>
  <sheetFormatPr defaultColWidth="9.140625" defaultRowHeight="14.1" customHeight="1" x14ac:dyDescent="0.2"/>
  <cols>
    <col min="1" max="1" width="1.140625" style="37" customWidth="1"/>
    <col min="2" max="2" width="60.42578125" style="13" customWidth="1"/>
    <col min="3" max="5" width="11.42578125" style="222" customWidth="1"/>
    <col min="6" max="6" width="1.140625" style="2" customWidth="1"/>
    <col min="7" max="16384" width="9.140625" style="222"/>
  </cols>
  <sheetData>
    <row r="1" spans="1:6" ht="14.1" customHeight="1" x14ac:dyDescent="0.2">
      <c r="A1" s="350" t="s">
        <v>1310</v>
      </c>
      <c r="B1" s="351"/>
      <c r="C1" s="351"/>
      <c r="D1" s="351"/>
      <c r="E1" s="351"/>
      <c r="F1" s="351"/>
    </row>
    <row r="3" spans="1:6" ht="13.7" customHeight="1" x14ac:dyDescent="0.2">
      <c r="A3" s="37">
        <f>'Op Inc'!A35+0.1</f>
        <v>3.3000000000000003</v>
      </c>
      <c r="B3" s="289" t="str">
        <f>"Note " &amp;A3 &amp; " Overseas visitors (relating to patients charged directly by the provider)"</f>
        <v>Note 3.3 Overseas visitors (relating to patients charged directly by the provider)</v>
      </c>
    </row>
    <row r="4" spans="1:6" s="282" customFormat="1" ht="14.1" customHeight="1" x14ac:dyDescent="0.2">
      <c r="A4" s="205"/>
      <c r="B4" s="313"/>
      <c r="D4" s="290" t="str">
        <f>CurrentFY</f>
        <v>2021/22</v>
      </c>
      <c r="E4" s="290" t="str">
        <f>ComparativeFY</f>
        <v>2020/21</v>
      </c>
      <c r="F4" s="290"/>
    </row>
    <row r="5" spans="1:6" s="282" customFormat="1" ht="14.1" customHeight="1" x14ac:dyDescent="0.2">
      <c r="A5" s="205"/>
      <c r="B5" s="313"/>
      <c r="D5" s="290" t="s">
        <v>590</v>
      </c>
      <c r="E5" s="290" t="s">
        <v>590</v>
      </c>
      <c r="F5" s="290"/>
    </row>
    <row r="6" spans="1:6" s="282" customFormat="1" ht="14.25" customHeight="1" x14ac:dyDescent="0.2">
      <c r="A6" s="205"/>
      <c r="B6" s="327" t="s">
        <v>801</v>
      </c>
      <c r="D6" s="219">
        <v>97</v>
      </c>
      <c r="E6" s="219">
        <v>67</v>
      </c>
      <c r="F6" s="219"/>
    </row>
    <row r="7" spans="1:6" s="282" customFormat="1" ht="14.25" customHeight="1" x14ac:dyDescent="0.2">
      <c r="A7" s="205"/>
      <c r="B7" s="327" t="s">
        <v>802</v>
      </c>
      <c r="D7" s="219">
        <v>99</v>
      </c>
      <c r="E7" s="219">
        <v>64.191149999999993</v>
      </c>
      <c r="F7" s="219"/>
    </row>
    <row r="8" spans="1:6" s="282" customFormat="1" ht="14.25" customHeight="1" x14ac:dyDescent="0.2">
      <c r="A8" s="205"/>
      <c r="B8" s="327" t="s">
        <v>803</v>
      </c>
      <c r="D8" s="219">
        <v>0</v>
      </c>
      <c r="E8" s="219">
        <v>7</v>
      </c>
      <c r="F8" s="219"/>
    </row>
    <row r="9" spans="1:6" ht="14.1" customHeight="1" x14ac:dyDescent="0.2">
      <c r="B9" s="327" t="s">
        <v>804</v>
      </c>
      <c r="D9" s="219">
        <v>78.079499999999996</v>
      </c>
      <c r="E9" s="219">
        <v>18.80885</v>
      </c>
      <c r="F9" s="219"/>
    </row>
    <row r="10" spans="1:6" s="282" customFormat="1" ht="14.1" customHeight="1" x14ac:dyDescent="0.2">
      <c r="A10" s="205"/>
      <c r="B10" s="313"/>
      <c r="C10" s="203"/>
      <c r="D10" s="203"/>
      <c r="E10" s="313"/>
      <c r="F10" s="178"/>
    </row>
    <row r="11" spans="1:6" s="283" customFormat="1" ht="14.1" customHeight="1" x14ac:dyDescent="0.25">
      <c r="A11" s="177">
        <f>ROUNDDOWN(A3,0)+1</f>
        <v>4</v>
      </c>
      <c r="B11" s="316" t="str">
        <f>"Note " &amp;A11 &amp; " Other operating income (Group) "</f>
        <v xml:space="preserve">Note 4 Other operating income (Group) </v>
      </c>
      <c r="C11" s="460" t="s">
        <v>63</v>
      </c>
      <c r="D11" s="460"/>
      <c r="E11" s="460"/>
      <c r="F11" s="313"/>
    </row>
    <row r="12" spans="1:6" s="286" customFormat="1" ht="28.5" customHeight="1" x14ac:dyDescent="0.25">
      <c r="A12" s="284"/>
      <c r="B12" s="285"/>
      <c r="C12" s="285" t="s">
        <v>806</v>
      </c>
      <c r="D12" s="285" t="s">
        <v>807</v>
      </c>
      <c r="E12" s="290" t="s">
        <v>589</v>
      </c>
    </row>
    <row r="13" spans="1:6" s="283" customFormat="1" ht="14.1" customHeight="1" x14ac:dyDescent="0.25">
      <c r="A13" s="177"/>
      <c r="B13" s="170"/>
      <c r="C13" s="290" t="s">
        <v>590</v>
      </c>
      <c r="D13" s="290" t="s">
        <v>590</v>
      </c>
      <c r="E13" s="290" t="s">
        <v>590</v>
      </c>
      <c r="F13" s="313"/>
    </row>
    <row r="14" spans="1:6" s="283" customFormat="1" ht="14.1" customHeight="1" x14ac:dyDescent="0.25">
      <c r="A14" s="177"/>
      <c r="B14" s="327" t="s">
        <v>808</v>
      </c>
      <c r="C14" s="219">
        <v>9659</v>
      </c>
      <c r="D14" s="219">
        <v>7012</v>
      </c>
      <c r="E14" s="220">
        <f>SUM(C14:D14)</f>
        <v>16671</v>
      </c>
      <c r="F14" s="327"/>
    </row>
    <row r="15" spans="1:6" s="283" customFormat="1" ht="14.1" customHeight="1" x14ac:dyDescent="0.25">
      <c r="A15" s="177"/>
      <c r="B15" s="327" t="s">
        <v>809</v>
      </c>
      <c r="C15" s="219">
        <v>3737</v>
      </c>
      <c r="D15" s="219">
        <v>0</v>
      </c>
      <c r="E15" s="220">
        <f t="shared" ref="E15:E26" si="0">SUM(C15:D15)</f>
        <v>3737</v>
      </c>
      <c r="F15" s="327"/>
    </row>
    <row r="16" spans="1:6" s="283" customFormat="1" ht="14.1" hidden="1" customHeight="1" x14ac:dyDescent="0.25">
      <c r="A16" s="177"/>
      <c r="B16" s="327" t="s">
        <v>810</v>
      </c>
      <c r="C16" s="219">
        <v>0</v>
      </c>
      <c r="D16" s="219"/>
      <c r="E16" s="220">
        <f t="shared" si="0"/>
        <v>0</v>
      </c>
      <c r="F16" s="327"/>
    </row>
    <row r="17" spans="1:6" s="303" customFormat="1" ht="14.1" customHeight="1" x14ac:dyDescent="0.25">
      <c r="A17" s="177"/>
      <c r="B17" s="130" t="s">
        <v>811</v>
      </c>
      <c r="C17" s="219">
        <v>1306</v>
      </c>
      <c r="D17" s="219">
        <v>0</v>
      </c>
      <c r="E17" s="220">
        <f t="shared" si="0"/>
        <v>1306</v>
      </c>
      <c r="F17" s="327"/>
    </row>
    <row r="18" spans="1:6" s="283" customFormat="1" ht="14.1" hidden="1" customHeight="1" x14ac:dyDescent="0.25">
      <c r="A18" s="177"/>
      <c r="B18" s="327" t="s">
        <v>812</v>
      </c>
      <c r="C18" s="219">
        <v>0</v>
      </c>
      <c r="D18" s="219"/>
      <c r="E18" s="220">
        <f t="shared" si="0"/>
        <v>0</v>
      </c>
      <c r="F18" s="327"/>
    </row>
    <row r="19" spans="1:6" s="283" customFormat="1" ht="14.1" customHeight="1" x14ac:dyDescent="0.25">
      <c r="A19" s="177"/>
      <c r="B19" s="327" t="s">
        <v>813</v>
      </c>
      <c r="C19" s="219">
        <v>0</v>
      </c>
      <c r="D19" s="219">
        <v>133</v>
      </c>
      <c r="E19" s="220">
        <f t="shared" si="0"/>
        <v>133</v>
      </c>
      <c r="F19" s="327"/>
    </row>
    <row r="20" spans="1:6" s="283" customFormat="1" ht="14.1" customHeight="1" x14ac:dyDescent="0.25">
      <c r="A20" s="177"/>
      <c r="B20" s="327" t="s">
        <v>814</v>
      </c>
      <c r="C20" s="219">
        <v>0</v>
      </c>
      <c r="D20" s="219">
        <v>336</v>
      </c>
      <c r="E20" s="220">
        <f t="shared" si="0"/>
        <v>336</v>
      </c>
      <c r="F20" s="327"/>
    </row>
    <row r="21" spans="1:6" s="283" customFormat="1" ht="14.1" hidden="1" customHeight="1" x14ac:dyDescent="0.25">
      <c r="A21" s="177"/>
      <c r="B21" s="327" t="s">
        <v>815</v>
      </c>
      <c r="C21" s="219"/>
      <c r="D21" s="219">
        <v>0</v>
      </c>
      <c r="E21" s="220">
        <f t="shared" si="0"/>
        <v>0</v>
      </c>
      <c r="F21" s="327"/>
    </row>
    <row r="22" spans="1:6" s="283" customFormat="1" ht="14.1" hidden="1" customHeight="1" x14ac:dyDescent="0.25">
      <c r="A22" s="177"/>
      <c r="B22" s="327" t="s">
        <v>816</v>
      </c>
      <c r="C22" s="219"/>
      <c r="D22" s="219">
        <v>0</v>
      </c>
      <c r="E22" s="220">
        <f t="shared" si="0"/>
        <v>0</v>
      </c>
      <c r="F22" s="327"/>
    </row>
    <row r="23" spans="1:6" s="283" customFormat="1" ht="14.1" customHeight="1" x14ac:dyDescent="0.25">
      <c r="A23" s="177"/>
      <c r="B23" s="327" t="s">
        <v>817</v>
      </c>
      <c r="C23" s="219">
        <v>0</v>
      </c>
      <c r="D23" s="219">
        <v>426</v>
      </c>
      <c r="E23" s="220">
        <f t="shared" si="0"/>
        <v>426</v>
      </c>
      <c r="F23" s="327"/>
    </row>
    <row r="24" spans="1:6" s="283" customFormat="1" ht="14.1" hidden="1" customHeight="1" x14ac:dyDescent="0.25">
      <c r="A24" s="177"/>
      <c r="B24" s="327" t="s">
        <v>818</v>
      </c>
      <c r="C24" s="219"/>
      <c r="D24" s="219">
        <v>0</v>
      </c>
      <c r="E24" s="220">
        <f t="shared" si="0"/>
        <v>0</v>
      </c>
      <c r="F24" s="327"/>
    </row>
    <row r="25" spans="1:6" s="283" customFormat="1" ht="14.1" hidden="1" customHeight="1" x14ac:dyDescent="0.25">
      <c r="A25" s="177"/>
      <c r="B25" s="327" t="s">
        <v>819</v>
      </c>
      <c r="C25" s="219"/>
      <c r="D25" s="219">
        <v>0</v>
      </c>
      <c r="E25" s="220">
        <f t="shared" si="0"/>
        <v>0</v>
      </c>
      <c r="F25" s="327"/>
    </row>
    <row r="26" spans="1:6" s="283" customFormat="1" ht="14.1" customHeight="1" x14ac:dyDescent="0.25">
      <c r="A26" s="177"/>
      <c r="B26" s="327" t="s">
        <v>780</v>
      </c>
      <c r="C26" s="219">
        <v>8191</v>
      </c>
      <c r="D26" s="219">
        <v>0</v>
      </c>
      <c r="E26" s="220">
        <f t="shared" si="0"/>
        <v>8191</v>
      </c>
      <c r="F26" s="327"/>
    </row>
    <row r="27" spans="1:6" s="283" customFormat="1" ht="14.1" customHeight="1" thickBot="1" x14ac:dyDescent="0.3">
      <c r="A27" s="177"/>
      <c r="B27" s="289" t="s">
        <v>820</v>
      </c>
      <c r="C27" s="206">
        <f>SUM(C14:C26)</f>
        <v>22893</v>
      </c>
      <c r="D27" s="206">
        <f>SUM(D14:D26)</f>
        <v>7907</v>
      </c>
      <c r="E27" s="206">
        <f>SUM(E14:E26)</f>
        <v>30800</v>
      </c>
      <c r="F27" s="289"/>
    </row>
    <row r="28" spans="1:6" s="283" customFormat="1" ht="14.1" hidden="1" customHeight="1" thickTop="1" x14ac:dyDescent="0.25">
      <c r="A28" s="177"/>
      <c r="B28" s="289" t="s">
        <v>798</v>
      </c>
      <c r="C28" s="289"/>
      <c r="D28" s="289"/>
      <c r="E28" s="24"/>
      <c r="F28" s="289"/>
    </row>
    <row r="29" spans="1:6" s="283" customFormat="1" ht="13.7" hidden="1" customHeight="1" x14ac:dyDescent="0.25">
      <c r="A29" s="177"/>
      <c r="B29" s="327" t="s">
        <v>799</v>
      </c>
      <c r="C29" s="327"/>
      <c r="D29" s="327"/>
      <c r="E29" s="219">
        <v>30800</v>
      </c>
      <c r="F29" s="327"/>
    </row>
    <row r="30" spans="1:6" s="283" customFormat="1" ht="14.1" hidden="1" customHeight="1" x14ac:dyDescent="0.25">
      <c r="A30" s="177"/>
      <c r="B30" s="327" t="s">
        <v>800</v>
      </c>
      <c r="C30" s="327"/>
      <c r="D30" s="327"/>
      <c r="E30" s="219">
        <v>0</v>
      </c>
      <c r="F30" s="327"/>
    </row>
    <row r="31" spans="1:6" s="311" customFormat="1" ht="14.1" customHeight="1" thickTop="1" x14ac:dyDescent="0.25">
      <c r="A31" s="177"/>
      <c r="B31" s="327"/>
      <c r="C31" s="327"/>
      <c r="D31" s="327"/>
      <c r="E31" s="219"/>
      <c r="F31" s="327"/>
    </row>
    <row r="32" spans="1:6" s="283" customFormat="1" ht="14.1" customHeight="1" x14ac:dyDescent="0.25">
      <c r="A32" s="177"/>
      <c r="B32" s="313"/>
      <c r="C32" s="460" t="s">
        <v>65</v>
      </c>
      <c r="D32" s="460"/>
      <c r="E32" s="460"/>
      <c r="F32" s="219"/>
    </row>
    <row r="33" spans="2:5" ht="21.95" customHeight="1" x14ac:dyDescent="0.2">
      <c r="C33" s="285" t="s">
        <v>806</v>
      </c>
      <c r="D33" s="285" t="s">
        <v>807</v>
      </c>
      <c r="E33" s="290" t="s">
        <v>589</v>
      </c>
    </row>
    <row r="34" spans="2:5" ht="14.1" customHeight="1" x14ac:dyDescent="0.2">
      <c r="C34" s="290" t="s">
        <v>590</v>
      </c>
      <c r="D34" s="290" t="s">
        <v>590</v>
      </c>
      <c r="E34" s="290" t="s">
        <v>590</v>
      </c>
    </row>
    <row r="35" spans="2:5" ht="14.1" customHeight="1" x14ac:dyDescent="0.2">
      <c r="B35" s="387" t="s">
        <v>808</v>
      </c>
      <c r="C35" s="219">
        <v>6259</v>
      </c>
      <c r="D35" s="219">
        <v>6466</v>
      </c>
      <c r="E35" s="220">
        <f>SUM(C35:D35)</f>
        <v>12725</v>
      </c>
    </row>
    <row r="36" spans="2:5" ht="14.1" customHeight="1" x14ac:dyDescent="0.2">
      <c r="B36" s="387" t="s">
        <v>809</v>
      </c>
      <c r="C36" s="219">
        <v>3771</v>
      </c>
      <c r="D36" s="219">
        <v>0</v>
      </c>
      <c r="E36" s="220">
        <f t="shared" ref="E36:E47" si="1">SUM(C36:D36)</f>
        <v>3771</v>
      </c>
    </row>
    <row r="37" spans="2:5" ht="14.1" hidden="1" customHeight="1" x14ac:dyDescent="0.2">
      <c r="B37" s="387" t="s">
        <v>810</v>
      </c>
      <c r="C37" s="219">
        <v>0</v>
      </c>
      <c r="D37" s="219">
        <v>0</v>
      </c>
      <c r="E37" s="220">
        <f t="shared" si="1"/>
        <v>0</v>
      </c>
    </row>
    <row r="38" spans="2:5" ht="14.1" customHeight="1" x14ac:dyDescent="0.2">
      <c r="B38" s="130" t="s">
        <v>811</v>
      </c>
      <c r="C38" s="219">
        <v>1834</v>
      </c>
      <c r="D38" s="219">
        <v>0</v>
      </c>
      <c r="E38" s="220">
        <f t="shared" si="1"/>
        <v>1834</v>
      </c>
    </row>
    <row r="39" spans="2:5" ht="14.1" hidden="1" customHeight="1" x14ac:dyDescent="0.2">
      <c r="B39" s="387" t="s">
        <v>812</v>
      </c>
      <c r="C39" s="209">
        <v>0</v>
      </c>
      <c r="D39" s="219"/>
      <c r="E39" s="220">
        <f t="shared" si="1"/>
        <v>0</v>
      </c>
    </row>
    <row r="40" spans="2:5" ht="14.1" customHeight="1" x14ac:dyDescent="0.2">
      <c r="B40" s="387" t="s">
        <v>813</v>
      </c>
      <c r="C40" s="209">
        <v>0</v>
      </c>
      <c r="D40" s="219">
        <v>44</v>
      </c>
      <c r="E40" s="220">
        <f t="shared" si="1"/>
        <v>44</v>
      </c>
    </row>
    <row r="41" spans="2:5" ht="14.1" customHeight="1" x14ac:dyDescent="0.2">
      <c r="B41" s="387" t="s">
        <v>814</v>
      </c>
      <c r="C41" s="209">
        <v>0</v>
      </c>
      <c r="D41" s="219">
        <v>1679</v>
      </c>
      <c r="E41" s="220">
        <f t="shared" si="1"/>
        <v>1679</v>
      </c>
    </row>
    <row r="42" spans="2:5" ht="14.1" hidden="1" customHeight="1" x14ac:dyDescent="0.2">
      <c r="B42" s="387" t="s">
        <v>815</v>
      </c>
      <c r="C42" s="209"/>
      <c r="D42" s="219">
        <v>0</v>
      </c>
      <c r="E42" s="220">
        <f t="shared" si="1"/>
        <v>0</v>
      </c>
    </row>
    <row r="43" spans="2:5" ht="14.1" hidden="1" customHeight="1" x14ac:dyDescent="0.2">
      <c r="B43" s="387" t="s">
        <v>816</v>
      </c>
      <c r="C43" s="209"/>
      <c r="D43" s="219">
        <v>0</v>
      </c>
      <c r="E43" s="220">
        <f t="shared" si="1"/>
        <v>0</v>
      </c>
    </row>
    <row r="44" spans="2:5" ht="14.1" customHeight="1" x14ac:dyDescent="0.2">
      <c r="B44" s="387" t="s">
        <v>817</v>
      </c>
      <c r="C44" s="209">
        <v>0</v>
      </c>
      <c r="D44" s="219">
        <v>371</v>
      </c>
      <c r="E44" s="220">
        <f t="shared" si="1"/>
        <v>371</v>
      </c>
    </row>
    <row r="45" spans="2:5" ht="14.1" hidden="1" customHeight="1" x14ac:dyDescent="0.2">
      <c r="B45" s="387" t="s">
        <v>818</v>
      </c>
      <c r="C45" s="209"/>
      <c r="D45" s="219">
        <v>0</v>
      </c>
      <c r="E45" s="220">
        <f t="shared" si="1"/>
        <v>0</v>
      </c>
    </row>
    <row r="46" spans="2:5" ht="14.1" hidden="1" customHeight="1" x14ac:dyDescent="0.2">
      <c r="B46" s="387" t="s">
        <v>819</v>
      </c>
      <c r="C46" s="209"/>
      <c r="D46" s="219">
        <v>0</v>
      </c>
      <c r="E46" s="220">
        <f t="shared" si="1"/>
        <v>0</v>
      </c>
    </row>
    <row r="47" spans="2:5" ht="14.1" customHeight="1" x14ac:dyDescent="0.2">
      <c r="B47" s="387" t="s">
        <v>780</v>
      </c>
      <c r="C47" s="209">
        <v>5641</v>
      </c>
      <c r="D47" s="219">
        <v>0</v>
      </c>
      <c r="E47" s="220">
        <f t="shared" si="1"/>
        <v>5641</v>
      </c>
    </row>
    <row r="48" spans="2:5" ht="14.1" customHeight="1" thickBot="1" x14ac:dyDescent="0.25">
      <c r="B48" s="289" t="s">
        <v>820</v>
      </c>
      <c r="C48" s="206">
        <f t="shared" ref="C48:D48" si="2">SUM(C35:C47)</f>
        <v>17505</v>
      </c>
      <c r="D48" s="206">
        <f t="shared" si="2"/>
        <v>8560</v>
      </c>
      <c r="E48" s="206">
        <f>SUM(E35:E47)</f>
        <v>26065</v>
      </c>
    </row>
    <row r="49" spans="1:5" ht="14.1" hidden="1" customHeight="1" thickTop="1" x14ac:dyDescent="0.2">
      <c r="B49" s="289" t="s">
        <v>798</v>
      </c>
      <c r="C49" s="289"/>
      <c r="D49" s="289"/>
      <c r="E49" s="24"/>
    </row>
    <row r="50" spans="1:5" ht="14.1" hidden="1" customHeight="1" x14ac:dyDescent="0.2">
      <c r="B50" s="387" t="s">
        <v>799</v>
      </c>
      <c r="C50" s="327"/>
      <c r="D50" s="327"/>
      <c r="E50" s="219">
        <v>26065</v>
      </c>
    </row>
    <row r="51" spans="1:5" ht="14.1" hidden="1" customHeight="1" x14ac:dyDescent="0.2">
      <c r="B51" s="387" t="s">
        <v>800</v>
      </c>
    </row>
    <row r="52" spans="1:5" ht="14.1" customHeight="1" thickTop="1" x14ac:dyDescent="0.2"/>
    <row r="54" spans="1:5" ht="14.1" customHeight="1" x14ac:dyDescent="0.25">
      <c r="A54" s="317">
        <f>ROUNDDOWN('Op Inc 2'!A11,0)+1.1</f>
        <v>5.0999999999999996</v>
      </c>
      <c r="B54" s="114" t="str">
        <f>"Note " &amp; A54&amp;" Income from activities arising from commissioner requested services"</f>
        <v>Note 5.1 Income from activities arising from commissioner requested services</v>
      </c>
      <c r="C54" s="52"/>
      <c r="D54" s="152"/>
      <c r="E54" s="52"/>
    </row>
    <row r="55" spans="1:5" ht="14.1" customHeight="1" x14ac:dyDescent="0.2">
      <c r="A55" s="243"/>
      <c r="B55" s="54"/>
      <c r="C55" s="52"/>
      <c r="D55" s="152"/>
      <c r="E55" s="52"/>
    </row>
    <row r="56" spans="1:5" ht="14.1" customHeight="1" x14ac:dyDescent="0.2">
      <c r="A56" s="243"/>
      <c r="B56" s="461" t="s">
        <v>821</v>
      </c>
      <c r="C56" s="461"/>
      <c r="D56" s="461"/>
      <c r="E56" s="461"/>
    </row>
    <row r="57" spans="1:5" ht="14.1" customHeight="1" x14ac:dyDescent="0.2">
      <c r="A57" s="243"/>
      <c r="B57" s="461"/>
      <c r="C57" s="461"/>
      <c r="D57" s="461"/>
      <c r="E57" s="461"/>
    </row>
    <row r="58" spans="1:5" ht="14.1" customHeight="1" x14ac:dyDescent="0.2">
      <c r="A58" s="243"/>
      <c r="B58" s="461"/>
      <c r="C58" s="461"/>
      <c r="D58" s="461"/>
      <c r="E58" s="461"/>
    </row>
    <row r="59" spans="1:5" ht="14.1" customHeight="1" x14ac:dyDescent="0.2">
      <c r="A59" s="243"/>
      <c r="B59" s="461"/>
      <c r="C59" s="461"/>
      <c r="D59" s="461"/>
      <c r="E59" s="461"/>
    </row>
    <row r="60" spans="1:5" ht="14.1" customHeight="1" x14ac:dyDescent="0.2">
      <c r="A60" s="243"/>
      <c r="B60" s="462"/>
      <c r="C60" s="462"/>
      <c r="D60" s="462"/>
      <c r="E60" s="462"/>
    </row>
    <row r="61" spans="1:5" ht="14.1" customHeight="1" x14ac:dyDescent="0.2">
      <c r="A61" s="243"/>
      <c r="B61" s="314"/>
      <c r="D61" s="331" t="str">
        <f>CurrentFY</f>
        <v>2021/22</v>
      </c>
      <c r="E61" s="331" t="str">
        <f>ComparativeFY</f>
        <v>2020/21</v>
      </c>
    </row>
    <row r="62" spans="1:5" ht="14.1" customHeight="1" x14ac:dyDescent="0.2">
      <c r="A62" s="243"/>
      <c r="B62" s="314"/>
      <c r="D62" s="331" t="s">
        <v>590</v>
      </c>
      <c r="E62" s="331" t="s">
        <v>590</v>
      </c>
    </row>
    <row r="63" spans="1:5" ht="14.1" customHeight="1" x14ac:dyDescent="0.2">
      <c r="A63" s="243"/>
      <c r="B63" s="130" t="s">
        <v>822</v>
      </c>
      <c r="D63" s="209">
        <f>+'Operating Segments'!C11</f>
        <v>215947</v>
      </c>
      <c r="E63" s="209">
        <f>+'Operating Segments'!C23</f>
        <v>193560</v>
      </c>
    </row>
    <row r="64" spans="1:5" ht="14.1" customHeight="1" x14ac:dyDescent="0.2">
      <c r="A64" s="243"/>
      <c r="B64" s="130" t="s">
        <v>823</v>
      </c>
      <c r="D64" s="209">
        <f>+'Operating Segments'!C12+'Operating Segments'!E11+'Operating Segments'!E12</f>
        <v>67832</v>
      </c>
      <c r="E64" s="209">
        <f>+'Operating Segments'!C24+'Operating Segments'!E23+'Operating Segments'!E24</f>
        <v>50408</v>
      </c>
    </row>
    <row r="65" spans="1:5" ht="14.1" customHeight="1" thickBot="1" x14ac:dyDescent="0.25">
      <c r="A65" s="243"/>
      <c r="B65" s="114" t="s">
        <v>589</v>
      </c>
      <c r="D65" s="211">
        <f>SUM(D63:D64)</f>
        <v>283779</v>
      </c>
      <c r="E65" s="211">
        <f>SUM(E63:E64)</f>
        <v>243968</v>
      </c>
    </row>
    <row r="66" spans="1:5" ht="14.1" customHeight="1" thickTop="1" x14ac:dyDescent="0.2">
      <c r="A66" s="243"/>
      <c r="D66" s="2"/>
    </row>
  </sheetData>
  <mergeCells count="4">
    <mergeCell ref="C11:E11"/>
    <mergeCell ref="C32:E32"/>
    <mergeCell ref="B56:E59"/>
    <mergeCell ref="B60:E60"/>
  </mergeCells>
  <pageMargins left="0.70866141732283472" right="0.70866141732283472" top="0.74803149606299213" bottom="0.74803149606299213" header="0.31496062992125984" footer="0.31496062992125984"/>
  <pageSetup paperSize="9" scale="89" fitToHeight="0" orientation="portrait" verticalDpi="0" r:id="rId1"/>
  <headerFooter>
    <oddFooter>&amp;RPage &amp;P of &amp;N</oddFooter>
  </headerFooter>
  <ignoredErrors>
    <ignoredError sqref="D5:E5 C13:E13 C34:E34 D62:E62"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F52"/>
  <sheetViews>
    <sheetView showGridLines="0" zoomScaleNormal="100" workbookViewId="0">
      <selection activeCell="B11" sqref="B11"/>
    </sheetView>
  </sheetViews>
  <sheetFormatPr defaultColWidth="9.140625" defaultRowHeight="14.1" customHeight="1" x14ac:dyDescent="0.2"/>
  <cols>
    <col min="1" max="1" width="1.140625" style="38" customWidth="1"/>
    <col min="2" max="2" width="62.140625" style="16" customWidth="1"/>
    <col min="3" max="3" width="11.42578125" style="16" customWidth="1"/>
    <col min="4" max="4" width="1.140625" style="34" customWidth="1"/>
    <col min="5" max="5" width="11.42578125" style="16" customWidth="1"/>
    <col min="6" max="16384" width="9.140625" style="16"/>
  </cols>
  <sheetData>
    <row r="1" spans="1:6" s="313" customFormat="1" ht="14.1" customHeight="1" x14ac:dyDescent="0.2">
      <c r="A1" s="350" t="s">
        <v>1310</v>
      </c>
      <c r="B1" s="351"/>
      <c r="C1" s="351"/>
      <c r="D1" s="351"/>
      <c r="E1" s="351"/>
    </row>
    <row r="2" spans="1:6" s="313" customFormat="1" ht="14.1" customHeight="1" x14ac:dyDescent="0.2">
      <c r="A2" s="205"/>
      <c r="D2" s="204"/>
    </row>
    <row r="3" spans="1:6" s="21" customFormat="1" ht="14.1" customHeight="1" x14ac:dyDescent="0.25">
      <c r="A3" s="205">
        <f>ROUNDDOWN('Op Inc 2'!A54,0)+1.1</f>
        <v>6.1</v>
      </c>
      <c r="B3" s="316" t="str">
        <f>"Note " &amp;A3 &amp;  " Operating expenses (Group)"</f>
        <v>Note 6.1 Operating expenses (Group)</v>
      </c>
      <c r="C3" s="458"/>
      <c r="D3" s="458"/>
      <c r="E3" s="458"/>
      <c r="F3" s="313"/>
    </row>
    <row r="4" spans="1:6" ht="14.1" customHeight="1" x14ac:dyDescent="0.2">
      <c r="A4" s="205"/>
      <c r="B4" s="313"/>
      <c r="C4" s="290" t="str">
        <f>CurrentFY</f>
        <v>2021/22</v>
      </c>
      <c r="D4" s="290"/>
      <c r="E4" s="290" t="str">
        <f>ComparativeFY</f>
        <v>2020/21</v>
      </c>
      <c r="F4" s="313"/>
    </row>
    <row r="5" spans="1:6" ht="14.1" customHeight="1" x14ac:dyDescent="0.2">
      <c r="A5" s="205"/>
      <c r="B5" s="313"/>
      <c r="C5" s="290" t="s">
        <v>590</v>
      </c>
      <c r="D5" s="290"/>
      <c r="E5" s="290" t="s">
        <v>590</v>
      </c>
      <c r="F5" s="313"/>
    </row>
    <row r="6" spans="1:6" ht="14.1" customHeight="1" x14ac:dyDescent="0.2">
      <c r="A6" s="205"/>
      <c r="B6" s="327" t="s">
        <v>824</v>
      </c>
      <c r="C6" s="219">
        <v>2261</v>
      </c>
      <c r="D6" s="219"/>
      <c r="E6" s="219">
        <v>2108</v>
      </c>
      <c r="F6" s="313"/>
    </row>
    <row r="7" spans="1:6" ht="14.1" hidden="1" customHeight="1" x14ac:dyDescent="0.2">
      <c r="A7" s="205"/>
      <c r="B7" s="327" t="s">
        <v>825</v>
      </c>
      <c r="C7" s="219">
        <v>0</v>
      </c>
      <c r="D7" s="219"/>
      <c r="E7" s="219">
        <v>0</v>
      </c>
      <c r="F7" s="313"/>
    </row>
    <row r="8" spans="1:6" s="21" customFormat="1" ht="14.1" hidden="1" customHeight="1" x14ac:dyDescent="0.2">
      <c r="A8" s="205"/>
      <c r="B8" s="327" t="s">
        <v>826</v>
      </c>
      <c r="C8" s="219">
        <v>0</v>
      </c>
      <c r="D8" s="219"/>
      <c r="E8" s="219">
        <v>0</v>
      </c>
      <c r="F8" s="313"/>
    </row>
    <row r="9" spans="1:6" ht="14.1" customHeight="1" x14ac:dyDescent="0.2">
      <c r="A9" s="205"/>
      <c r="B9" s="327" t="s">
        <v>827</v>
      </c>
      <c r="C9" s="219">
        <v>135047</v>
      </c>
      <c r="D9" s="219"/>
      <c r="E9" s="219">
        <v>124242</v>
      </c>
      <c r="F9" s="313"/>
    </row>
    <row r="10" spans="1:6" ht="14.1" customHeight="1" x14ac:dyDescent="0.2">
      <c r="A10" s="205"/>
      <c r="B10" s="327" t="s">
        <v>828</v>
      </c>
      <c r="C10" s="219">
        <v>176</v>
      </c>
      <c r="D10" s="219"/>
      <c r="E10" s="219">
        <v>183</v>
      </c>
      <c r="F10" s="313"/>
    </row>
    <row r="11" spans="1:6" ht="14.1" customHeight="1" x14ac:dyDescent="0.2">
      <c r="A11" s="205"/>
      <c r="B11" s="327" t="s">
        <v>829</v>
      </c>
      <c r="C11" s="219">
        <v>21249</v>
      </c>
      <c r="D11" s="219"/>
      <c r="E11" s="219">
        <v>15994</v>
      </c>
      <c r="F11" s="313"/>
    </row>
    <row r="12" spans="1:6" ht="14.1" customHeight="1" x14ac:dyDescent="0.2">
      <c r="A12" s="205"/>
      <c r="B12" s="327" t="s">
        <v>830</v>
      </c>
      <c r="C12" s="219">
        <v>14786</v>
      </c>
      <c r="D12" s="219"/>
      <c r="E12" s="219">
        <v>11413</v>
      </c>
      <c r="F12" s="313"/>
    </row>
    <row r="13" spans="1:6" ht="14.1" customHeight="1" x14ac:dyDescent="0.2">
      <c r="A13" s="205"/>
      <c r="B13" s="327" t="s">
        <v>831</v>
      </c>
      <c r="C13" s="219">
        <v>39386</v>
      </c>
      <c r="D13" s="219"/>
      <c r="E13" s="219">
        <v>30321</v>
      </c>
      <c r="F13" s="313"/>
    </row>
    <row r="14" spans="1:6" ht="14.1" customHeight="1" x14ac:dyDescent="0.2">
      <c r="A14" s="205"/>
      <c r="B14" s="327" t="s">
        <v>832</v>
      </c>
      <c r="C14" s="219">
        <v>0</v>
      </c>
      <c r="D14" s="219"/>
      <c r="E14" s="219">
        <v>11</v>
      </c>
      <c r="F14" s="313"/>
    </row>
    <row r="15" spans="1:6" ht="14.1" customHeight="1" x14ac:dyDescent="0.2">
      <c r="A15" s="205"/>
      <c r="B15" s="327" t="s">
        <v>833</v>
      </c>
      <c r="C15" s="219">
        <v>3897</v>
      </c>
      <c r="D15" s="219"/>
      <c r="E15" s="219">
        <v>2204</v>
      </c>
      <c r="F15" s="313"/>
    </row>
    <row r="16" spans="1:6" ht="14.1" customHeight="1" x14ac:dyDescent="0.2">
      <c r="A16" s="205"/>
      <c r="B16" s="327" t="s">
        <v>834</v>
      </c>
      <c r="C16" s="219">
        <v>6413</v>
      </c>
      <c r="D16" s="219"/>
      <c r="E16" s="219">
        <v>6163</v>
      </c>
      <c r="F16" s="313"/>
    </row>
    <row r="17" spans="1:6" ht="14.1" customHeight="1" x14ac:dyDescent="0.2">
      <c r="A17" s="205"/>
      <c r="B17" s="327" t="s">
        <v>835</v>
      </c>
      <c r="C17" s="219">
        <v>6121</v>
      </c>
      <c r="D17" s="219"/>
      <c r="E17" s="219">
        <v>6133</v>
      </c>
      <c r="F17" s="313"/>
    </row>
    <row r="18" spans="1:6" ht="14.1" customHeight="1" x14ac:dyDescent="0.2">
      <c r="A18" s="205"/>
      <c r="B18" s="327" t="s">
        <v>836</v>
      </c>
      <c r="C18" s="219">
        <v>3147</v>
      </c>
      <c r="D18" s="219"/>
      <c r="E18" s="219">
        <v>2374</v>
      </c>
      <c r="F18" s="313"/>
    </row>
    <row r="19" spans="1:6" ht="14.1" customHeight="1" x14ac:dyDescent="0.2">
      <c r="A19" s="205"/>
      <c r="B19" s="327" t="s">
        <v>837</v>
      </c>
      <c r="C19" s="219">
        <v>7414</v>
      </c>
      <c r="D19" s="219"/>
      <c r="E19" s="219">
        <v>6799</v>
      </c>
    </row>
    <row r="20" spans="1:6" ht="14.1" customHeight="1" x14ac:dyDescent="0.2">
      <c r="A20" s="205"/>
      <c r="B20" s="327" t="s">
        <v>838</v>
      </c>
      <c r="C20" s="219">
        <v>1098</v>
      </c>
      <c r="D20" s="219"/>
      <c r="E20" s="219">
        <v>1831</v>
      </c>
    </row>
    <row r="21" spans="1:6" ht="14.1" customHeight="1" x14ac:dyDescent="0.2">
      <c r="A21" s="205"/>
      <c r="B21" s="327" t="s">
        <v>611</v>
      </c>
      <c r="C21" s="219">
        <v>187</v>
      </c>
      <c r="D21" s="219"/>
      <c r="E21" s="219">
        <v>1017</v>
      </c>
    </row>
    <row r="22" spans="1:6" ht="14.1" customHeight="1" x14ac:dyDescent="0.2">
      <c r="A22" s="205"/>
      <c r="B22" s="327" t="s">
        <v>839</v>
      </c>
      <c r="C22" s="219">
        <v>-1400</v>
      </c>
      <c r="D22" s="219"/>
      <c r="E22" s="219">
        <v>-986</v>
      </c>
    </row>
    <row r="23" spans="1:6" s="238" customFormat="1" ht="14.1" hidden="1" customHeight="1" x14ac:dyDescent="0.2">
      <c r="A23" s="205"/>
      <c r="B23" s="327" t="s">
        <v>840</v>
      </c>
      <c r="C23" s="219">
        <v>0</v>
      </c>
      <c r="D23" s="219"/>
      <c r="E23" s="219">
        <v>0</v>
      </c>
    </row>
    <row r="24" spans="1:6" ht="14.1" hidden="1" customHeight="1" x14ac:dyDescent="0.2">
      <c r="A24" s="205"/>
      <c r="B24" s="327" t="s">
        <v>841</v>
      </c>
      <c r="C24" s="219">
        <v>0</v>
      </c>
      <c r="D24" s="219"/>
      <c r="E24" s="219">
        <v>0</v>
      </c>
    </row>
    <row r="25" spans="1:6" ht="14.1" customHeight="1" x14ac:dyDescent="0.2">
      <c r="A25" s="205"/>
      <c r="B25" s="327" t="s">
        <v>842</v>
      </c>
      <c r="C25" s="219">
        <v>6</v>
      </c>
      <c r="D25" s="219"/>
      <c r="E25" s="219">
        <v>15</v>
      </c>
    </row>
    <row r="26" spans="1:6" ht="14.1" customHeight="1" x14ac:dyDescent="0.2">
      <c r="A26" s="205"/>
      <c r="B26" s="327" t="s">
        <v>1284</v>
      </c>
      <c r="C26" s="219"/>
      <c r="D26" s="219"/>
      <c r="E26" s="219"/>
    </row>
    <row r="27" spans="1:6" ht="14.1" customHeight="1" x14ac:dyDescent="0.2">
      <c r="A27" s="205"/>
      <c r="B27" s="122" t="s">
        <v>843</v>
      </c>
      <c r="C27" s="219">
        <v>102</v>
      </c>
      <c r="D27" s="219"/>
      <c r="E27" s="219">
        <v>96</v>
      </c>
    </row>
    <row r="28" spans="1:6" ht="14.1" customHeight="1" x14ac:dyDescent="0.2">
      <c r="A28" s="205"/>
      <c r="B28" s="122" t="s">
        <v>844</v>
      </c>
      <c r="C28" s="219">
        <v>0</v>
      </c>
      <c r="D28" s="219"/>
      <c r="E28" s="219">
        <v>0</v>
      </c>
    </row>
    <row r="29" spans="1:6" ht="14.1" customHeight="1" x14ac:dyDescent="0.2">
      <c r="A29" s="205"/>
      <c r="B29" s="327" t="s">
        <v>845</v>
      </c>
      <c r="C29" s="219">
        <v>108</v>
      </c>
      <c r="D29" s="219"/>
      <c r="E29" s="219">
        <v>111</v>
      </c>
    </row>
    <row r="30" spans="1:6" ht="14.1" customHeight="1" x14ac:dyDescent="0.2">
      <c r="A30" s="205"/>
      <c r="B30" s="327" t="s">
        <v>846</v>
      </c>
      <c r="C30" s="219">
        <v>427</v>
      </c>
      <c r="D30" s="219"/>
      <c r="E30" s="219">
        <v>309</v>
      </c>
    </row>
    <row r="31" spans="1:6" s="21" customFormat="1" ht="14.1" customHeight="1" x14ac:dyDescent="0.2">
      <c r="A31" s="205"/>
      <c r="B31" s="327" t="s">
        <v>847</v>
      </c>
      <c r="C31" s="219">
        <v>601</v>
      </c>
      <c r="D31" s="219"/>
      <c r="E31" s="219">
        <v>962</v>
      </c>
    </row>
    <row r="32" spans="1:6" ht="14.1" customHeight="1" x14ac:dyDescent="0.2">
      <c r="A32" s="205"/>
      <c r="B32" s="327" t="s">
        <v>848</v>
      </c>
      <c r="C32" s="219">
        <v>652</v>
      </c>
      <c r="D32" s="209"/>
      <c r="E32" s="219">
        <v>574</v>
      </c>
    </row>
    <row r="33" spans="1:5" ht="14.1" customHeight="1" x14ac:dyDescent="0.2">
      <c r="A33" s="205"/>
      <c r="B33" s="327" t="s">
        <v>808</v>
      </c>
      <c r="C33" s="219">
        <v>12211</v>
      </c>
      <c r="D33" s="209"/>
      <c r="E33" s="219">
        <v>16363</v>
      </c>
    </row>
    <row r="34" spans="1:5" s="128" customFormat="1" ht="14.1" customHeight="1" x14ac:dyDescent="0.2">
      <c r="A34" s="205"/>
      <c r="B34" s="327" t="s">
        <v>809</v>
      </c>
      <c r="C34" s="219">
        <v>2407</v>
      </c>
      <c r="D34" s="209"/>
      <c r="E34" s="219">
        <v>2166</v>
      </c>
    </row>
    <row r="35" spans="1:5" ht="14.1" customHeight="1" x14ac:dyDescent="0.2">
      <c r="A35" s="205"/>
      <c r="B35" s="327" t="s">
        <v>849</v>
      </c>
      <c r="C35" s="219">
        <v>5423.5657929404297</v>
      </c>
      <c r="D35" s="209"/>
      <c r="E35" s="219">
        <v>5555</v>
      </c>
    </row>
    <row r="36" spans="1:5" ht="14.1" hidden="1" customHeight="1" x14ac:dyDescent="0.2">
      <c r="A36" s="205"/>
      <c r="B36" s="327" t="s">
        <v>850</v>
      </c>
      <c r="C36" s="219">
        <v>0</v>
      </c>
      <c r="D36" s="219"/>
      <c r="E36" s="219">
        <v>0</v>
      </c>
    </row>
    <row r="37" spans="1:5" ht="14.1" customHeight="1" x14ac:dyDescent="0.2">
      <c r="A37" s="205"/>
      <c r="B37" s="327" t="s">
        <v>851</v>
      </c>
      <c r="C37" s="219">
        <v>207</v>
      </c>
      <c r="D37" s="219"/>
      <c r="E37" s="219">
        <v>325</v>
      </c>
    </row>
    <row r="38" spans="1:5" ht="13.7" hidden="1" customHeight="1" x14ac:dyDescent="0.2">
      <c r="A38" s="205"/>
      <c r="B38" s="183" t="s">
        <v>852</v>
      </c>
      <c r="C38" s="209">
        <v>0</v>
      </c>
      <c r="D38" s="219"/>
      <c r="E38" s="209">
        <v>0</v>
      </c>
    </row>
    <row r="39" spans="1:5" ht="14.1" hidden="1" customHeight="1" x14ac:dyDescent="0.2">
      <c r="A39" s="205"/>
      <c r="B39" s="327" t="s">
        <v>853</v>
      </c>
      <c r="C39" s="209">
        <v>0</v>
      </c>
      <c r="D39" s="219"/>
      <c r="E39" s="209">
        <v>0</v>
      </c>
    </row>
    <row r="40" spans="1:5" ht="14.1" customHeight="1" x14ac:dyDescent="0.2">
      <c r="A40" s="205"/>
      <c r="B40" s="327" t="s">
        <v>854</v>
      </c>
      <c r="C40" s="209">
        <v>573</v>
      </c>
      <c r="D40" s="219"/>
      <c r="E40" s="209">
        <v>487</v>
      </c>
    </row>
    <row r="41" spans="1:5" ht="14.1" hidden="1" customHeight="1" x14ac:dyDescent="0.2">
      <c r="A41" s="205"/>
      <c r="B41" s="327" t="s">
        <v>855</v>
      </c>
      <c r="C41" s="209">
        <v>0</v>
      </c>
      <c r="D41" s="219"/>
      <c r="E41" s="209">
        <v>0</v>
      </c>
    </row>
    <row r="42" spans="1:5" ht="14.1" customHeight="1" x14ac:dyDescent="0.2">
      <c r="A42" s="205"/>
      <c r="B42" s="327" t="s">
        <v>856</v>
      </c>
      <c r="C42" s="219">
        <v>28</v>
      </c>
      <c r="D42" s="219"/>
      <c r="E42" s="219">
        <v>168</v>
      </c>
    </row>
    <row r="43" spans="1:5" ht="14.1" hidden="1" customHeight="1" x14ac:dyDescent="0.2">
      <c r="A43" s="205"/>
      <c r="B43" s="327" t="s">
        <v>857</v>
      </c>
      <c r="C43" s="219">
        <v>0</v>
      </c>
      <c r="D43" s="219"/>
      <c r="E43" s="219">
        <v>0</v>
      </c>
    </row>
    <row r="44" spans="1:5" ht="14.1" customHeight="1" x14ac:dyDescent="0.2">
      <c r="A44" s="205"/>
      <c r="B44" s="327" t="s">
        <v>858</v>
      </c>
      <c r="C44" s="219">
        <v>103</v>
      </c>
      <c r="D44" s="219"/>
      <c r="E44" s="219">
        <v>93</v>
      </c>
    </row>
    <row r="45" spans="1:5" s="169" customFormat="1" ht="14.1" hidden="1" customHeight="1" x14ac:dyDescent="0.2">
      <c r="A45" s="205"/>
      <c r="B45" s="327" t="s">
        <v>859</v>
      </c>
      <c r="C45" s="219">
        <v>0</v>
      </c>
      <c r="D45" s="219"/>
      <c r="E45" s="219">
        <v>0</v>
      </c>
    </row>
    <row r="46" spans="1:5" ht="14.1" customHeight="1" x14ac:dyDescent="0.2">
      <c r="A46" s="205"/>
      <c r="B46" s="327" t="s">
        <v>860</v>
      </c>
      <c r="C46" s="219">
        <v>516</v>
      </c>
      <c r="D46" s="219"/>
      <c r="E46" s="219">
        <v>648</v>
      </c>
    </row>
    <row r="47" spans="1:5" ht="14.1" customHeight="1" thickBot="1" x14ac:dyDescent="0.25">
      <c r="A47" s="205"/>
      <c r="B47" s="289" t="s">
        <v>589</v>
      </c>
      <c r="C47" s="206">
        <f>SUM(C6:C46)</f>
        <v>263146.56579294044</v>
      </c>
      <c r="D47" s="219"/>
      <c r="E47" s="206">
        <f>SUM(E6:E46)</f>
        <v>237679</v>
      </c>
    </row>
    <row r="48" spans="1:5" ht="14.1" hidden="1" customHeight="1" thickTop="1" x14ac:dyDescent="0.2">
      <c r="A48" s="205"/>
      <c r="B48" s="289" t="s">
        <v>798</v>
      </c>
      <c r="C48" s="199"/>
      <c r="D48" s="35"/>
      <c r="E48" s="199"/>
    </row>
    <row r="49" spans="1:5" ht="14.1" hidden="1" customHeight="1" x14ac:dyDescent="0.2">
      <c r="A49" s="205"/>
      <c r="B49" s="327" t="s">
        <v>799</v>
      </c>
      <c r="C49" s="219">
        <v>263146.56579294044</v>
      </c>
      <c r="D49" s="219"/>
      <c r="E49" s="219">
        <v>237679</v>
      </c>
    </row>
    <row r="50" spans="1:5" ht="14.1" hidden="1" customHeight="1" x14ac:dyDescent="0.2">
      <c r="A50" s="205"/>
      <c r="B50" s="327" t="s">
        <v>800</v>
      </c>
      <c r="C50" s="219">
        <v>0</v>
      </c>
      <c r="D50" s="219"/>
      <c r="E50" s="219">
        <v>0</v>
      </c>
    </row>
    <row r="51" spans="1:5" ht="12" hidden="1" x14ac:dyDescent="0.2">
      <c r="B51" s="291" t="s">
        <v>861</v>
      </c>
      <c r="C51" s="219"/>
      <c r="D51" s="219"/>
      <c r="E51" s="219"/>
    </row>
    <row r="52" spans="1:5" ht="14.1" customHeight="1" thickTop="1" x14ac:dyDescent="0.2">
      <c r="B52" s="313"/>
      <c r="C52" s="203"/>
      <c r="D52" s="178"/>
      <c r="E52" s="203"/>
    </row>
  </sheetData>
  <customSheetViews>
    <customSheetView guid="{EDC1BD6E-863A-4FC6-A3A9-F32079F4F0C1}">
      <selection activeCell="H23" sqref="H23"/>
      <pageMargins left="0" right="0" top="0" bottom="0" header="0" footer="0"/>
      <pageSetup paperSize="9" orientation="portrait" verticalDpi="0" r:id="rId1"/>
    </customSheetView>
  </customSheetViews>
  <mergeCells count="1">
    <mergeCell ref="C3:E3"/>
  </mergeCells>
  <pageMargins left="0.70866141732283472" right="0.70866141732283472" top="0.74803149606299213" bottom="0.74803149606299213" header="0.31496062992125984" footer="0.31496062992125984"/>
  <pageSetup paperSize="9" scale="99" fitToHeight="0" orientation="portrait" verticalDpi="0" r:id="rId2"/>
  <headerFooter>
    <oddFooter>&amp;RPage &amp;P of &amp;N</oddFooter>
  </headerFooter>
  <ignoredErrors>
    <ignoredError sqref="C5:E5"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G41"/>
  <sheetViews>
    <sheetView showGridLines="0" topLeftCell="A25" zoomScaleNormal="100" workbookViewId="0">
      <selection activeCell="C28" sqref="C28"/>
    </sheetView>
  </sheetViews>
  <sheetFormatPr defaultColWidth="9.140625" defaultRowHeight="14.1" customHeight="1" x14ac:dyDescent="0.2"/>
  <cols>
    <col min="1" max="1" width="1.140625" style="38" customWidth="1"/>
    <col min="2" max="2" width="62.140625" style="16" customWidth="1"/>
    <col min="3" max="3" width="11.42578125" style="16" customWidth="1"/>
    <col min="4" max="4" width="1.140625" style="34" customWidth="1"/>
    <col min="5" max="5" width="11.42578125" style="16" customWidth="1"/>
    <col min="6" max="16384" width="9.140625" style="16"/>
  </cols>
  <sheetData>
    <row r="1" spans="1:7" s="313" customFormat="1" ht="14.1" customHeight="1" x14ac:dyDescent="0.2">
      <c r="A1" s="350" t="s">
        <v>1310</v>
      </c>
      <c r="B1" s="351"/>
      <c r="C1" s="351"/>
      <c r="D1" s="351"/>
      <c r="E1" s="351"/>
    </row>
    <row r="2" spans="1:7" s="313" customFormat="1" ht="14.1" customHeight="1" x14ac:dyDescent="0.2">
      <c r="A2" s="205"/>
      <c r="D2" s="204"/>
    </row>
    <row r="3" spans="1:7" ht="14.1" hidden="1" customHeight="1" x14ac:dyDescent="0.25">
      <c r="A3" s="205">
        <f>'Op Exp'!A3+0.1</f>
        <v>6.1999999999999993</v>
      </c>
      <c r="B3" s="316" t="str">
        <f>"Note " &amp; A3 &amp; " Other auditor remuneration (Group)"</f>
        <v>Note 6.2 Other auditor remuneration (Group)</v>
      </c>
      <c r="C3" s="225"/>
      <c r="D3" s="225"/>
      <c r="E3" s="225"/>
      <c r="F3" s="313"/>
      <c r="G3" s="313"/>
    </row>
    <row r="4" spans="1:7" ht="14.1" hidden="1" customHeight="1" x14ac:dyDescent="0.2">
      <c r="A4" s="205"/>
      <c r="B4" s="313"/>
      <c r="C4" s="290" t="str">
        <f>CurrentFY</f>
        <v>2021/22</v>
      </c>
      <c r="D4" s="290"/>
      <c r="E4" s="290" t="str">
        <f>ComparativeFY</f>
        <v>2020/21</v>
      </c>
      <c r="F4" s="313"/>
      <c r="G4" s="313"/>
    </row>
    <row r="5" spans="1:7" ht="14.1" hidden="1" customHeight="1" x14ac:dyDescent="0.2">
      <c r="A5" s="205"/>
      <c r="B5" s="313"/>
      <c r="C5" s="290" t="s">
        <v>590</v>
      </c>
      <c r="D5" s="290"/>
      <c r="E5" s="290" t="s">
        <v>590</v>
      </c>
      <c r="F5" s="313"/>
      <c r="G5" s="313"/>
    </row>
    <row r="6" spans="1:7" ht="14.1" hidden="1" customHeight="1" x14ac:dyDescent="0.2">
      <c r="A6" s="205"/>
      <c r="B6" s="28" t="s">
        <v>862</v>
      </c>
      <c r="C6" s="219"/>
      <c r="D6" s="219"/>
      <c r="E6" s="219"/>
      <c r="F6" s="313"/>
      <c r="G6" s="313"/>
    </row>
    <row r="7" spans="1:7" ht="14.1" hidden="1" customHeight="1" x14ac:dyDescent="0.2">
      <c r="A7" s="205"/>
      <c r="B7" s="327" t="s">
        <v>863</v>
      </c>
      <c r="C7" s="219">
        <v>0</v>
      </c>
      <c r="D7" s="219"/>
      <c r="E7" s="219">
        <v>0</v>
      </c>
      <c r="F7" s="313"/>
      <c r="G7" s="313"/>
    </row>
    <row r="8" spans="1:7" ht="14.1" hidden="1" customHeight="1" x14ac:dyDescent="0.2">
      <c r="A8" s="205"/>
      <c r="B8" s="327" t="s">
        <v>864</v>
      </c>
      <c r="C8" s="219">
        <v>0</v>
      </c>
      <c r="D8" s="219"/>
      <c r="E8" s="219">
        <v>0</v>
      </c>
      <c r="F8" s="313"/>
      <c r="G8" s="313"/>
    </row>
    <row r="9" spans="1:7" ht="14.1" hidden="1" customHeight="1" x14ac:dyDescent="0.2">
      <c r="A9" s="205"/>
      <c r="B9" s="327" t="s">
        <v>865</v>
      </c>
      <c r="C9" s="219">
        <v>0</v>
      </c>
      <c r="D9" s="219"/>
      <c r="E9" s="219">
        <v>0</v>
      </c>
      <c r="F9" s="313"/>
      <c r="G9" s="313"/>
    </row>
    <row r="10" spans="1:7" ht="14.1" hidden="1" customHeight="1" x14ac:dyDescent="0.2">
      <c r="A10" s="205"/>
      <c r="B10" s="327" t="s">
        <v>866</v>
      </c>
      <c r="C10" s="219">
        <v>0</v>
      </c>
      <c r="D10" s="219"/>
      <c r="E10" s="219">
        <v>0</v>
      </c>
      <c r="F10" s="313"/>
      <c r="G10" s="313"/>
    </row>
    <row r="11" spans="1:7" s="21" customFormat="1" ht="14.1" hidden="1" customHeight="1" x14ac:dyDescent="0.2">
      <c r="A11" s="205"/>
      <c r="B11" s="327" t="s">
        <v>867</v>
      </c>
      <c r="C11" s="219">
        <v>0</v>
      </c>
      <c r="D11" s="219"/>
      <c r="E11" s="219">
        <v>0</v>
      </c>
      <c r="F11" s="313"/>
      <c r="G11" s="313"/>
    </row>
    <row r="12" spans="1:7" ht="14.1" hidden="1" customHeight="1" x14ac:dyDescent="0.2">
      <c r="A12" s="205"/>
      <c r="B12" s="327" t="s">
        <v>868</v>
      </c>
      <c r="C12" s="219">
        <v>0</v>
      </c>
      <c r="D12" s="219"/>
      <c r="E12" s="219">
        <v>0</v>
      </c>
      <c r="F12" s="313"/>
      <c r="G12" s="313"/>
    </row>
    <row r="13" spans="1:7" s="21" customFormat="1" ht="14.1" hidden="1" customHeight="1" x14ac:dyDescent="0.2">
      <c r="A13" s="205"/>
      <c r="B13" s="327" t="s">
        <v>869</v>
      </c>
      <c r="C13" s="219">
        <v>0</v>
      </c>
      <c r="D13" s="219"/>
      <c r="E13" s="219">
        <v>0</v>
      </c>
      <c r="F13" s="313"/>
      <c r="G13" s="313"/>
    </row>
    <row r="14" spans="1:7" s="21" customFormat="1" ht="14.1" hidden="1" customHeight="1" x14ac:dyDescent="0.2">
      <c r="A14" s="205"/>
      <c r="B14" s="327" t="s">
        <v>870</v>
      </c>
      <c r="C14" s="219">
        <v>0</v>
      </c>
      <c r="D14" s="219"/>
      <c r="E14" s="219">
        <v>0</v>
      </c>
      <c r="F14" s="313"/>
      <c r="G14" s="313"/>
    </row>
    <row r="15" spans="1:7" ht="14.1" hidden="1" customHeight="1" thickBot="1" x14ac:dyDescent="0.25">
      <c r="A15" s="205"/>
      <c r="B15" s="289" t="s">
        <v>589</v>
      </c>
      <c r="C15" s="206">
        <f>SUM(C6:C14)</f>
        <v>0</v>
      </c>
      <c r="D15" s="219"/>
      <c r="E15" s="206">
        <f>SUM(E6:E14)</f>
        <v>0</v>
      </c>
      <c r="F15" s="313"/>
      <c r="G15" s="313"/>
    </row>
    <row r="16" spans="1:7" s="21" customFormat="1" ht="14.1" hidden="1" customHeight="1" thickTop="1" x14ac:dyDescent="0.2">
      <c r="A16" s="205"/>
      <c r="B16" s="316"/>
      <c r="C16" s="188"/>
      <c r="D16" s="188"/>
      <c r="E16" s="188"/>
      <c r="F16" s="313"/>
      <c r="G16" s="313"/>
    </row>
    <row r="17" spans="1:7" ht="14.1" customHeight="1" x14ac:dyDescent="0.2">
      <c r="A17" s="205">
        <f>'Op Exp'!A3+0.1</f>
        <v>6.1999999999999993</v>
      </c>
      <c r="B17" s="316" t="str">
        <f>"Note " &amp; A17&amp; " Limitation on auditor's liability (Group)"</f>
        <v>Note 6.2 Limitation on auditor's liability (Group)</v>
      </c>
      <c r="C17" s="313"/>
      <c r="D17" s="204"/>
      <c r="E17" s="313"/>
      <c r="F17" s="313"/>
      <c r="G17" s="313"/>
    </row>
    <row r="18" spans="1:7" ht="6.6" customHeight="1" x14ac:dyDescent="0.2">
      <c r="A18" s="205"/>
      <c r="B18" s="461" t="s">
        <v>1468</v>
      </c>
      <c r="C18" s="461"/>
      <c r="D18" s="461"/>
      <c r="E18" s="461"/>
      <c r="F18" s="313"/>
      <c r="G18" s="313"/>
    </row>
    <row r="19" spans="1:7" ht="14.1" customHeight="1" x14ac:dyDescent="0.2">
      <c r="A19" s="205"/>
      <c r="B19" s="461"/>
      <c r="C19" s="461"/>
      <c r="D19" s="461"/>
      <c r="E19" s="461"/>
      <c r="F19" s="313"/>
      <c r="G19" s="313"/>
    </row>
    <row r="20" spans="1:7" s="21" customFormat="1" ht="14.1" customHeight="1" x14ac:dyDescent="0.2">
      <c r="A20" s="205"/>
      <c r="B20" s="313"/>
      <c r="C20" s="313"/>
      <c r="D20" s="204"/>
      <c r="E20" s="313"/>
      <c r="F20" s="313"/>
      <c r="G20" s="313"/>
    </row>
    <row r="22" spans="1:7" ht="14.1" customHeight="1" x14ac:dyDescent="0.25">
      <c r="A22" s="205">
        <f>ROUNDDOWN(A17,0)+1</f>
        <v>7</v>
      </c>
      <c r="B22" s="316" t="str">
        <f>"Note "&amp; A22 &amp; " Impairment of assets (Group)"</f>
        <v>Note 7 Impairment of assets (Group)</v>
      </c>
      <c r="C22" s="225"/>
      <c r="D22" s="225"/>
      <c r="E22" s="225"/>
      <c r="F22" s="313"/>
      <c r="G22" s="313"/>
    </row>
    <row r="23" spans="1:7" ht="14.1" customHeight="1" x14ac:dyDescent="0.2">
      <c r="A23" s="205"/>
      <c r="B23" s="316"/>
      <c r="C23" s="290" t="str">
        <f>CurrentFY</f>
        <v>2021/22</v>
      </c>
      <c r="D23" s="290"/>
      <c r="E23" s="290" t="str">
        <f>ComparativeFY</f>
        <v>2020/21</v>
      </c>
      <c r="F23" s="313"/>
      <c r="G23" s="313"/>
    </row>
    <row r="24" spans="1:7" ht="14.1" customHeight="1" x14ac:dyDescent="0.2">
      <c r="A24" s="205"/>
      <c r="B24" s="313"/>
      <c r="C24" s="290" t="s">
        <v>590</v>
      </c>
      <c r="D24" s="290"/>
      <c r="E24" s="290" t="s">
        <v>590</v>
      </c>
      <c r="F24" s="313"/>
      <c r="G24" s="313"/>
    </row>
    <row r="25" spans="1:7" ht="14.1" customHeight="1" x14ac:dyDescent="0.2">
      <c r="A25" s="205"/>
      <c r="B25" s="316" t="s">
        <v>871</v>
      </c>
      <c r="C25" s="199"/>
      <c r="D25" s="199"/>
      <c r="E25" s="199"/>
      <c r="F25" s="313"/>
      <c r="G25" s="313"/>
    </row>
    <row r="26" spans="1:7" ht="14.1" hidden="1" customHeight="1" x14ac:dyDescent="0.2">
      <c r="A26" s="205"/>
      <c r="B26" s="327" t="s">
        <v>872</v>
      </c>
      <c r="C26" s="219">
        <v>0</v>
      </c>
      <c r="D26" s="219"/>
      <c r="E26" s="219">
        <v>0</v>
      </c>
      <c r="F26" s="313"/>
      <c r="G26" s="313"/>
    </row>
    <row r="27" spans="1:7" ht="14.1" customHeight="1" x14ac:dyDescent="0.2">
      <c r="A27" s="205"/>
      <c r="B27" s="327" t="s">
        <v>1418</v>
      </c>
      <c r="C27" s="219">
        <v>0</v>
      </c>
      <c r="D27" s="219"/>
      <c r="E27" s="219">
        <v>636</v>
      </c>
      <c r="F27" s="313"/>
      <c r="G27" s="313"/>
    </row>
    <row r="28" spans="1:7" ht="14.1" customHeight="1" x14ac:dyDescent="0.2">
      <c r="A28" s="205"/>
      <c r="B28" s="327" t="s">
        <v>1419</v>
      </c>
      <c r="C28" s="219">
        <v>187</v>
      </c>
      <c r="D28" s="219"/>
      <c r="E28" s="219">
        <v>0</v>
      </c>
      <c r="F28" s="313"/>
      <c r="G28" s="313"/>
    </row>
    <row r="29" spans="1:7" ht="14.1" hidden="1" customHeight="1" x14ac:dyDescent="0.2">
      <c r="A29" s="205"/>
      <c r="B29" s="327" t="s">
        <v>873</v>
      </c>
      <c r="C29" s="219">
        <v>0</v>
      </c>
      <c r="D29" s="219"/>
      <c r="E29" s="219">
        <v>0</v>
      </c>
      <c r="F29" s="313"/>
      <c r="G29" s="313"/>
    </row>
    <row r="30" spans="1:7" ht="14.1" hidden="1" customHeight="1" x14ac:dyDescent="0.2">
      <c r="A30" s="205"/>
      <c r="B30" s="327" t="s">
        <v>874</v>
      </c>
      <c r="C30" s="219">
        <v>0</v>
      </c>
      <c r="D30" s="219"/>
      <c r="E30" s="219">
        <v>0</v>
      </c>
      <c r="F30" s="313"/>
      <c r="G30" s="313"/>
    </row>
    <row r="31" spans="1:7" ht="14.1" customHeight="1" x14ac:dyDescent="0.2">
      <c r="A31" s="205"/>
      <c r="B31" s="327" t="s">
        <v>1420</v>
      </c>
      <c r="C31" s="219">
        <v>0</v>
      </c>
      <c r="D31" s="219"/>
      <c r="E31" s="219">
        <v>381</v>
      </c>
      <c r="F31" s="313"/>
      <c r="G31" s="313"/>
    </row>
    <row r="32" spans="1:7" s="169" customFormat="1" ht="14.1" hidden="1" customHeight="1" x14ac:dyDescent="0.2">
      <c r="A32" s="205"/>
      <c r="B32" s="327" t="s">
        <v>875</v>
      </c>
      <c r="C32" s="219">
        <v>0</v>
      </c>
      <c r="D32" s="219"/>
      <c r="E32" s="219">
        <v>0</v>
      </c>
      <c r="F32" s="313"/>
      <c r="G32" s="313"/>
    </row>
    <row r="33" spans="1:7" ht="14.1" hidden="1" customHeight="1" x14ac:dyDescent="0.2">
      <c r="A33" s="205"/>
      <c r="B33" s="327" t="s">
        <v>876</v>
      </c>
      <c r="C33" s="219">
        <v>0</v>
      </c>
      <c r="D33" s="219"/>
      <c r="E33" s="219">
        <v>0</v>
      </c>
      <c r="F33" s="313"/>
      <c r="G33" s="313"/>
    </row>
    <row r="34" spans="1:7" ht="14.1" customHeight="1" thickBot="1" x14ac:dyDescent="0.25">
      <c r="A34" s="205"/>
      <c r="B34" s="289" t="s">
        <v>877</v>
      </c>
      <c r="C34" s="206">
        <f>SUM(C26:C33)</f>
        <v>187</v>
      </c>
      <c r="D34" s="181"/>
      <c r="E34" s="206">
        <f>SUM(E26:E33)</f>
        <v>1017</v>
      </c>
      <c r="F34" s="313"/>
      <c r="G34" s="313"/>
    </row>
    <row r="35" spans="1:7" ht="14.1" customHeight="1" thickTop="1" x14ac:dyDescent="0.2">
      <c r="A35" s="205"/>
      <c r="B35" s="327" t="s">
        <v>878</v>
      </c>
      <c r="C35" s="219">
        <v>29</v>
      </c>
      <c r="D35" s="219"/>
      <c r="E35" s="219">
        <v>2232</v>
      </c>
      <c r="F35" s="313"/>
      <c r="G35" s="313"/>
    </row>
    <row r="36" spans="1:7" ht="14.1" customHeight="1" thickBot="1" x14ac:dyDescent="0.3">
      <c r="A36" s="205"/>
      <c r="B36" s="103" t="s">
        <v>879</v>
      </c>
      <c r="C36" s="206">
        <f>SUM(C34:C35)</f>
        <v>216</v>
      </c>
      <c r="D36" s="317"/>
      <c r="E36" s="206">
        <f>SUM(E34:E35)</f>
        <v>3249</v>
      </c>
      <c r="F36" s="313"/>
      <c r="G36" s="313"/>
    </row>
    <row r="37" spans="1:7" s="21" customFormat="1" ht="14.1" customHeight="1" thickTop="1" x14ac:dyDescent="0.2">
      <c r="A37" s="205"/>
      <c r="B37" s="316"/>
      <c r="C37" s="188"/>
      <c r="D37" s="203"/>
      <c r="E37" s="188"/>
      <c r="F37" s="313"/>
      <c r="G37" s="313"/>
    </row>
    <row r="38" spans="1:7" s="21" customFormat="1" ht="16.5" customHeight="1" x14ac:dyDescent="0.2">
      <c r="A38" s="205"/>
      <c r="B38" s="463" t="s">
        <v>1421</v>
      </c>
      <c r="C38" s="463"/>
      <c r="D38" s="463"/>
      <c r="E38" s="463"/>
      <c r="F38" s="313"/>
      <c r="G38" s="313"/>
    </row>
    <row r="39" spans="1:7" s="21" customFormat="1" ht="34.5" customHeight="1" x14ac:dyDescent="0.2">
      <c r="A39" s="205"/>
      <c r="B39" s="463" t="s">
        <v>1429</v>
      </c>
      <c r="C39" s="463"/>
      <c r="D39" s="463"/>
      <c r="E39" s="463"/>
      <c r="F39" s="313"/>
      <c r="G39" s="313"/>
    </row>
    <row r="40" spans="1:7" s="21" customFormat="1" ht="29.25" customHeight="1" x14ac:dyDescent="0.2">
      <c r="A40" s="205"/>
      <c r="B40" s="463" t="s">
        <v>1430</v>
      </c>
      <c r="C40" s="463"/>
      <c r="D40" s="463"/>
      <c r="E40" s="463"/>
      <c r="F40" s="313"/>
      <c r="G40" s="313"/>
    </row>
    <row r="41" spans="1:7" ht="14.1" customHeight="1" x14ac:dyDescent="0.2">
      <c r="A41" s="205"/>
      <c r="B41" s="313"/>
      <c r="C41" s="199"/>
      <c r="D41" s="199"/>
      <c r="E41" s="199"/>
      <c r="F41" s="313"/>
      <c r="G41" s="313"/>
    </row>
  </sheetData>
  <customSheetViews>
    <customSheetView guid="{EDC1BD6E-863A-4FC6-A3A9-F32079F4F0C1}">
      <selection activeCell="B35" sqref="B35"/>
      <pageMargins left="0" right="0" top="0" bottom="0" header="0" footer="0"/>
      <pageSetup paperSize="9" orientation="portrait" verticalDpi="0" r:id="rId1"/>
    </customSheetView>
  </customSheetViews>
  <mergeCells count="4">
    <mergeCell ref="B18:E19"/>
    <mergeCell ref="B38:E38"/>
    <mergeCell ref="B40:E40"/>
    <mergeCell ref="B39:E39"/>
  </mergeCells>
  <pageMargins left="0.70866141732283472" right="0.70866141732283472" top="0.74803149606299213" bottom="0.74803149606299213" header="0.31496062992125984" footer="0.31496062992125984"/>
  <pageSetup paperSize="9" scale="99" fitToHeight="0" orientation="portrait" verticalDpi="0" r:id="rId2"/>
  <headerFooter>
    <oddFooter>&amp;RPage &amp;P of &amp;N</oddFooter>
  </headerFooter>
  <ignoredErrors>
    <ignoredError sqref="C24:E24"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pageSetUpPr fitToPage="1"/>
  </sheetPr>
  <dimension ref="A1:N37"/>
  <sheetViews>
    <sheetView showGridLines="0" topLeftCell="A10" zoomScaleNormal="100" workbookViewId="0">
      <selection activeCell="C15" sqref="C15"/>
    </sheetView>
  </sheetViews>
  <sheetFormatPr defaultColWidth="9.140625" defaultRowHeight="14.1" customHeight="1" x14ac:dyDescent="0.2"/>
  <cols>
    <col min="1" max="1" width="1.140625" style="38" customWidth="1"/>
    <col min="2" max="2" width="62.140625" style="16" customWidth="1"/>
    <col min="3" max="3" width="11.42578125" style="16" customWidth="1"/>
    <col min="4" max="4" width="1.140625" style="21" customWidth="1"/>
    <col min="5" max="5" width="11.42578125" style="16" customWidth="1"/>
    <col min="6" max="6" width="9.85546875" style="16" customWidth="1"/>
    <col min="7" max="7" width="1.140625" style="16" customWidth="1"/>
    <col min="8" max="8" width="9.85546875" style="16" customWidth="1"/>
    <col min="9" max="16384" width="9.140625" style="16"/>
  </cols>
  <sheetData>
    <row r="1" spans="1:14" s="313" customFormat="1" ht="14.1" customHeight="1" x14ac:dyDescent="0.2">
      <c r="A1" s="350" t="s">
        <v>1310</v>
      </c>
      <c r="B1" s="351"/>
      <c r="C1" s="351"/>
      <c r="D1" s="351"/>
      <c r="E1" s="351"/>
    </row>
    <row r="2" spans="1:14" s="313" customFormat="1" ht="14.1" customHeight="1" x14ac:dyDescent="0.2">
      <c r="A2" s="205"/>
    </row>
    <row r="3" spans="1:14" ht="14.1" customHeight="1" x14ac:dyDescent="0.25">
      <c r="A3" s="205">
        <f>ROUNDDOWN('Audit &amp; Impair'!A22,0)+1</f>
        <v>8</v>
      </c>
      <c r="B3" s="316" t="str">
        <f>"Note "&amp; A3 &amp;" Employee benefits (Group)"</f>
        <v>Note 8 Employee benefits (Group)</v>
      </c>
      <c r="C3" s="458"/>
      <c r="D3" s="458"/>
      <c r="E3" s="458"/>
      <c r="F3" s="313"/>
      <c r="G3" s="313"/>
      <c r="H3" s="313"/>
      <c r="I3" s="313"/>
      <c r="J3" s="313"/>
      <c r="K3" s="313"/>
      <c r="L3" s="313"/>
      <c r="M3" s="313"/>
      <c r="N3" s="313"/>
    </row>
    <row r="4" spans="1:14" ht="14.1" customHeight="1" x14ac:dyDescent="0.2">
      <c r="A4" s="205"/>
      <c r="B4" s="313"/>
      <c r="C4" s="290" t="str">
        <f>CurrentFY</f>
        <v>2021/22</v>
      </c>
      <c r="D4" s="290"/>
      <c r="E4" s="290" t="str">
        <f>ComparativeFY</f>
        <v>2020/21</v>
      </c>
      <c r="F4" s="182"/>
      <c r="G4" s="182"/>
      <c r="H4" s="182"/>
      <c r="I4" s="182"/>
      <c r="J4" s="313"/>
      <c r="K4" s="313"/>
      <c r="L4" s="190"/>
      <c r="M4" s="314"/>
      <c r="N4" s="314"/>
    </row>
    <row r="5" spans="1:14" ht="14.1" customHeight="1" x14ac:dyDescent="0.2">
      <c r="A5" s="205"/>
      <c r="B5" s="313"/>
      <c r="C5" s="290" t="s">
        <v>589</v>
      </c>
      <c r="D5" s="290"/>
      <c r="E5" s="290" t="s">
        <v>589</v>
      </c>
      <c r="F5" s="182"/>
      <c r="G5" s="182"/>
      <c r="H5" s="182"/>
      <c r="I5" s="290"/>
      <c r="J5" s="313"/>
      <c r="K5" s="313"/>
      <c r="L5" s="313"/>
      <c r="M5" s="313"/>
      <c r="N5" s="313"/>
    </row>
    <row r="6" spans="1:14" ht="14.1" customHeight="1" x14ac:dyDescent="0.2">
      <c r="A6" s="205"/>
      <c r="B6" s="313"/>
      <c r="C6" s="290" t="s">
        <v>590</v>
      </c>
      <c r="D6" s="290"/>
      <c r="E6" s="290" t="s">
        <v>590</v>
      </c>
      <c r="F6" s="182"/>
      <c r="G6" s="182"/>
      <c r="H6" s="182"/>
      <c r="I6" s="182"/>
      <c r="J6" s="313"/>
      <c r="K6" s="313"/>
      <c r="L6" s="313"/>
      <c r="M6" s="313"/>
      <c r="N6" s="313"/>
    </row>
    <row r="7" spans="1:14" ht="14.1" customHeight="1" x14ac:dyDescent="0.2">
      <c r="A7" s="205"/>
      <c r="B7" s="327" t="s">
        <v>880</v>
      </c>
      <c r="C7" s="219">
        <v>104109</v>
      </c>
      <c r="D7" s="203"/>
      <c r="E7" s="219">
        <v>99202</v>
      </c>
      <c r="F7" s="182"/>
      <c r="G7" s="182"/>
      <c r="H7" s="182"/>
      <c r="I7" s="313"/>
      <c r="J7" s="313"/>
      <c r="K7" s="313"/>
      <c r="L7" s="313"/>
      <c r="M7" s="313"/>
      <c r="N7" s="313"/>
    </row>
    <row r="8" spans="1:14" ht="14.1" customHeight="1" x14ac:dyDescent="0.2">
      <c r="A8" s="205"/>
      <c r="B8" s="327" t="s">
        <v>881</v>
      </c>
      <c r="C8" s="219">
        <v>10644</v>
      </c>
      <c r="D8" s="203"/>
      <c r="E8" s="219">
        <v>10026</v>
      </c>
      <c r="F8" s="182"/>
      <c r="G8" s="182"/>
      <c r="H8" s="182"/>
      <c r="I8" s="313"/>
      <c r="J8" s="313"/>
      <c r="K8" s="313"/>
      <c r="L8" s="313"/>
      <c r="M8" s="313"/>
      <c r="N8" s="313"/>
    </row>
    <row r="9" spans="1:14" s="145" customFormat="1" ht="14.1" customHeight="1" x14ac:dyDescent="0.2">
      <c r="A9" s="205"/>
      <c r="B9" s="327" t="s">
        <v>882</v>
      </c>
      <c r="C9" s="219">
        <v>511</v>
      </c>
      <c r="D9" s="203"/>
      <c r="E9" s="219">
        <v>448</v>
      </c>
      <c r="F9" s="182"/>
      <c r="G9" s="182"/>
      <c r="H9" s="182"/>
      <c r="I9" s="313"/>
      <c r="J9" s="313"/>
      <c r="K9" s="313"/>
      <c r="L9" s="313"/>
      <c r="M9" s="313"/>
      <c r="N9" s="313"/>
    </row>
    <row r="10" spans="1:14" ht="14.1" customHeight="1" x14ac:dyDescent="0.2">
      <c r="A10" s="205"/>
      <c r="B10" s="327" t="s">
        <v>883</v>
      </c>
      <c r="C10" s="219">
        <v>16624</v>
      </c>
      <c r="D10" s="203"/>
      <c r="E10" s="219">
        <v>15991</v>
      </c>
      <c r="F10" s="182"/>
      <c r="G10" s="182"/>
      <c r="H10" s="182"/>
      <c r="I10" s="313"/>
      <c r="J10" s="313"/>
      <c r="K10" s="313"/>
      <c r="L10" s="313"/>
      <c r="M10" s="313"/>
      <c r="N10" s="313"/>
    </row>
    <row r="11" spans="1:14" ht="14.1" customHeight="1" x14ac:dyDescent="0.2">
      <c r="A11" s="205"/>
      <c r="B11" s="327" t="s">
        <v>884</v>
      </c>
      <c r="C11" s="219">
        <v>12</v>
      </c>
      <c r="D11" s="203"/>
      <c r="E11" s="219">
        <v>10</v>
      </c>
      <c r="F11" s="182"/>
      <c r="G11" s="182"/>
      <c r="H11" s="182"/>
      <c r="I11" s="313"/>
      <c r="J11" s="313"/>
      <c r="K11" s="313"/>
      <c r="L11" s="313"/>
      <c r="M11" s="313"/>
      <c r="N11" s="313"/>
    </row>
    <row r="12" spans="1:14" ht="14.1" hidden="1" customHeight="1" x14ac:dyDescent="0.2">
      <c r="A12" s="205"/>
      <c r="B12" s="327" t="s">
        <v>885</v>
      </c>
      <c r="C12" s="219">
        <v>0</v>
      </c>
      <c r="D12" s="203"/>
      <c r="E12" s="219">
        <v>0</v>
      </c>
      <c r="F12" s="182"/>
      <c r="G12" s="182"/>
      <c r="H12" s="182"/>
      <c r="I12" s="313"/>
      <c r="J12" s="313"/>
      <c r="K12" s="313"/>
      <c r="L12" s="313"/>
      <c r="M12" s="313"/>
      <c r="N12" s="313"/>
    </row>
    <row r="13" spans="1:14" ht="14.1" hidden="1" customHeight="1" x14ac:dyDescent="0.2">
      <c r="A13" s="205"/>
      <c r="B13" s="327" t="s">
        <v>886</v>
      </c>
      <c r="C13" s="219">
        <v>0</v>
      </c>
      <c r="D13" s="203"/>
      <c r="E13" s="219">
        <v>0</v>
      </c>
      <c r="F13" s="182"/>
      <c r="G13" s="182"/>
      <c r="H13" s="182"/>
      <c r="I13" s="313"/>
      <c r="J13" s="313"/>
      <c r="K13" s="313"/>
      <c r="L13" s="313"/>
      <c r="M13" s="313"/>
      <c r="N13" s="313"/>
    </row>
    <row r="14" spans="1:14" s="140" customFormat="1" ht="14.1" hidden="1" customHeight="1" x14ac:dyDescent="0.2">
      <c r="A14" s="205"/>
      <c r="B14" s="327" t="s">
        <v>887</v>
      </c>
      <c r="C14" s="219">
        <v>0</v>
      </c>
      <c r="D14" s="203"/>
      <c r="E14" s="219">
        <v>0</v>
      </c>
      <c r="F14" s="182"/>
      <c r="G14" s="182"/>
      <c r="H14" s="182"/>
      <c r="I14" s="313"/>
      <c r="J14" s="313"/>
      <c r="K14" s="313"/>
      <c r="L14" s="313"/>
      <c r="M14" s="313"/>
      <c r="N14" s="313"/>
    </row>
    <row r="15" spans="1:14" ht="14.1" customHeight="1" x14ac:dyDescent="0.2">
      <c r="A15" s="205"/>
      <c r="B15" s="327" t="s">
        <v>888</v>
      </c>
      <c r="C15" s="219">
        <v>14303</v>
      </c>
      <c r="D15" s="203"/>
      <c r="E15" s="219">
        <v>7650</v>
      </c>
      <c r="F15" s="182"/>
      <c r="G15" s="182"/>
      <c r="H15" s="182"/>
      <c r="I15" s="313"/>
      <c r="J15" s="313"/>
      <c r="K15" s="313"/>
      <c r="L15" s="313"/>
      <c r="M15" s="313"/>
      <c r="N15" s="313"/>
    </row>
    <row r="16" spans="1:14" s="169" customFormat="1" ht="14.1" hidden="1" customHeight="1" x14ac:dyDescent="0.2">
      <c r="A16" s="205"/>
      <c r="B16" s="327" t="s">
        <v>889</v>
      </c>
      <c r="C16" s="219">
        <v>0</v>
      </c>
      <c r="D16" s="203"/>
      <c r="E16" s="219">
        <v>0</v>
      </c>
      <c r="F16" s="182"/>
      <c r="G16" s="182"/>
      <c r="H16" s="182"/>
      <c r="I16" s="313"/>
      <c r="J16" s="313"/>
      <c r="K16" s="313"/>
      <c r="L16" s="313"/>
      <c r="M16" s="313"/>
      <c r="N16" s="313"/>
    </row>
    <row r="17" spans="1:14" ht="14.1" hidden="1" customHeight="1" thickBot="1" x14ac:dyDescent="0.3">
      <c r="A17" s="205"/>
      <c r="B17" s="289" t="s">
        <v>890</v>
      </c>
      <c r="C17" s="206">
        <f>SUM(C7:C16)</f>
        <v>146203</v>
      </c>
      <c r="D17" s="317"/>
      <c r="E17" s="206">
        <f>SUM(E7:E16)</f>
        <v>133327</v>
      </c>
      <c r="F17" s="182"/>
      <c r="G17" s="182"/>
      <c r="H17" s="182"/>
      <c r="I17" s="313"/>
      <c r="J17" s="313"/>
      <c r="K17" s="313"/>
      <c r="L17" s="313"/>
      <c r="M17" s="313"/>
      <c r="N17" s="313"/>
    </row>
    <row r="18" spans="1:14" s="21" customFormat="1" ht="14.1" hidden="1" customHeight="1" thickTop="1" x14ac:dyDescent="0.25">
      <c r="A18" s="205"/>
      <c r="B18" s="327" t="s">
        <v>891</v>
      </c>
      <c r="C18" s="219">
        <v>0</v>
      </c>
      <c r="D18" s="317"/>
      <c r="E18" s="219">
        <v>0</v>
      </c>
      <c r="F18" s="182"/>
      <c r="G18" s="182"/>
      <c r="H18" s="182"/>
      <c r="I18" s="314"/>
      <c r="J18" s="313"/>
      <c r="K18" s="313"/>
      <c r="L18" s="313"/>
      <c r="M18" s="313"/>
      <c r="N18" s="313"/>
    </row>
    <row r="19" spans="1:14" ht="14.1" customHeight="1" thickBot="1" x14ac:dyDescent="0.3">
      <c r="A19" s="205"/>
      <c r="B19" s="289" t="s">
        <v>892</v>
      </c>
      <c r="C19" s="206">
        <f>SUM(C17:C18)</f>
        <v>146203</v>
      </c>
      <c r="D19" s="317"/>
      <c r="E19" s="206">
        <f>SUM(E17:E18)</f>
        <v>133327</v>
      </c>
      <c r="F19" s="182"/>
      <c r="G19" s="182"/>
      <c r="H19" s="182"/>
      <c r="I19" s="313"/>
      <c r="J19" s="313"/>
      <c r="K19" s="313"/>
    </row>
    <row r="20" spans="1:14" ht="14.1" customHeight="1" thickTop="1" x14ac:dyDescent="0.25">
      <c r="A20" s="205"/>
      <c r="B20" s="289" t="s">
        <v>893</v>
      </c>
      <c r="C20" s="199"/>
      <c r="D20" s="199"/>
      <c r="E20" s="199"/>
      <c r="F20" s="187"/>
      <c r="G20" s="317"/>
      <c r="H20" s="199"/>
      <c r="I20" s="313"/>
      <c r="J20" s="313"/>
      <c r="K20" s="313"/>
    </row>
    <row r="21" spans="1:14" ht="14.1" customHeight="1" x14ac:dyDescent="0.25">
      <c r="A21" s="205"/>
      <c r="B21" s="327" t="s">
        <v>894</v>
      </c>
      <c r="C21" s="219">
        <v>357</v>
      </c>
      <c r="D21" s="219"/>
      <c r="E21" s="219">
        <v>91</v>
      </c>
      <c r="F21" s="220"/>
      <c r="G21" s="317"/>
      <c r="H21" s="199"/>
      <c r="I21" s="313"/>
      <c r="J21" s="313"/>
      <c r="K21" s="313"/>
    </row>
    <row r="22" spans="1:14" ht="14.1" customHeight="1" x14ac:dyDescent="0.25">
      <c r="A22" s="205"/>
      <c r="B22" s="313"/>
      <c r="C22" s="203"/>
      <c r="D22" s="203"/>
      <c r="E22" s="203"/>
      <c r="F22" s="203"/>
      <c r="G22" s="317"/>
      <c r="H22" s="199"/>
      <c r="I22" s="313"/>
      <c r="J22" s="313"/>
      <c r="K22" s="313"/>
    </row>
    <row r="23" spans="1:14" s="138" customFormat="1" ht="72" hidden="1" customHeight="1" x14ac:dyDescent="0.2">
      <c r="A23" s="205"/>
      <c r="B23" s="453" t="s">
        <v>1304</v>
      </c>
      <c r="C23" s="453"/>
      <c r="D23" s="453"/>
      <c r="E23" s="453"/>
      <c r="F23" s="203"/>
      <c r="G23" s="325"/>
      <c r="H23" s="325"/>
      <c r="I23" s="313"/>
      <c r="J23" s="313"/>
      <c r="K23" s="313"/>
    </row>
    <row r="24" spans="1:14" ht="14.1" customHeight="1" x14ac:dyDescent="0.2">
      <c r="A24" s="205"/>
      <c r="B24" s="313"/>
      <c r="C24" s="313"/>
      <c r="D24" s="313"/>
      <c r="E24" s="313"/>
      <c r="F24" s="203"/>
      <c r="G24" s="171"/>
      <c r="H24" s="171"/>
      <c r="I24" s="313"/>
      <c r="J24" s="313"/>
      <c r="K24" s="313"/>
    </row>
    <row r="25" spans="1:14" s="21" customFormat="1" ht="14.1" customHeight="1" x14ac:dyDescent="0.2">
      <c r="A25" s="205">
        <f>A3+0.1</f>
        <v>8.1</v>
      </c>
      <c r="B25" s="316" t="str">
        <f>"Note "&amp; A25&amp;" Retirements due to ill-health (Group)"</f>
        <v>Note 8.1 Retirements due to ill-health (Group)</v>
      </c>
      <c r="C25" s="313"/>
      <c r="D25" s="313"/>
      <c r="E25" s="313"/>
      <c r="F25" s="203"/>
      <c r="G25" s="313"/>
      <c r="H25" s="313"/>
      <c r="I25" s="313"/>
      <c r="J25" s="313"/>
      <c r="K25" s="313"/>
    </row>
    <row r="26" spans="1:14" s="21" customFormat="1" ht="14.1" customHeight="1" x14ac:dyDescent="0.2">
      <c r="A26" s="205"/>
      <c r="B26" s="459" t="s">
        <v>1469</v>
      </c>
      <c r="C26" s="459"/>
      <c r="D26" s="459"/>
      <c r="E26" s="459"/>
      <c r="F26" s="203"/>
      <c r="G26" s="313"/>
      <c r="H26" s="313"/>
      <c r="I26" s="313"/>
      <c r="J26" s="313"/>
      <c r="K26" s="313"/>
    </row>
    <row r="27" spans="1:14" s="21" customFormat="1" ht="14.1" customHeight="1" x14ac:dyDescent="0.2">
      <c r="A27" s="205"/>
      <c r="B27" s="459"/>
      <c r="C27" s="459"/>
      <c r="D27" s="459"/>
      <c r="E27" s="459"/>
      <c r="F27" s="203"/>
      <c r="G27" s="313"/>
      <c r="H27" s="313"/>
      <c r="I27" s="313"/>
      <c r="J27" s="313"/>
      <c r="K27" s="313"/>
    </row>
    <row r="28" spans="1:14" s="21" customFormat="1" ht="11.25" customHeight="1" x14ac:dyDescent="0.2">
      <c r="A28" s="205"/>
      <c r="B28" s="459"/>
      <c r="C28" s="459"/>
      <c r="D28" s="459"/>
      <c r="E28" s="459"/>
      <c r="F28" s="203"/>
      <c r="G28" s="313"/>
      <c r="H28" s="313"/>
      <c r="I28" s="313"/>
      <c r="J28" s="313"/>
      <c r="K28" s="313"/>
    </row>
    <row r="29" spans="1:14" s="21" customFormat="1" ht="13.7" customHeight="1" x14ac:dyDescent="0.2">
      <c r="A29" s="205"/>
      <c r="B29" s="322"/>
      <c r="C29" s="322"/>
      <c r="D29" s="322"/>
      <c r="E29" s="322"/>
      <c r="F29" s="203"/>
      <c r="G29" s="322"/>
      <c r="H29" s="322"/>
      <c r="I29" s="313"/>
      <c r="J29" s="313"/>
      <c r="K29" s="313"/>
    </row>
    <row r="30" spans="1:14" s="21" customFormat="1" ht="13.7" customHeight="1" x14ac:dyDescent="0.2">
      <c r="A30" s="205"/>
      <c r="B30" s="445" t="s">
        <v>895</v>
      </c>
      <c r="C30" s="445"/>
      <c r="D30" s="445"/>
      <c r="E30" s="445"/>
      <c r="F30" s="203"/>
      <c r="G30" s="321"/>
      <c r="H30" s="321"/>
      <c r="I30" s="313"/>
      <c r="J30" s="313"/>
      <c r="K30" s="313"/>
    </row>
    <row r="31" spans="1:14" ht="14.1" customHeight="1" x14ac:dyDescent="0.2">
      <c r="A31" s="205"/>
      <c r="B31" s="313"/>
      <c r="C31" s="313"/>
      <c r="D31" s="313"/>
      <c r="E31" s="313"/>
      <c r="F31" s="203"/>
      <c r="G31" s="313"/>
      <c r="H31" s="313"/>
      <c r="I31" s="313"/>
      <c r="J31" s="313"/>
      <c r="K31" s="313"/>
    </row>
    <row r="32" spans="1:14" ht="18.75" hidden="1" customHeight="1" x14ac:dyDescent="0.3">
      <c r="A32" s="205"/>
      <c r="B32" s="151" t="s">
        <v>896</v>
      </c>
      <c r="C32" s="313"/>
      <c r="D32" s="313"/>
      <c r="E32" s="313"/>
      <c r="F32" s="203"/>
      <c r="G32" s="313"/>
      <c r="H32" s="313"/>
      <c r="I32" s="313"/>
      <c r="J32" s="313"/>
      <c r="K32" s="313"/>
    </row>
    <row r="33" spans="1:11" ht="40.700000000000003" hidden="1" customHeight="1" x14ac:dyDescent="0.2">
      <c r="A33" s="153"/>
      <c r="B33" s="464" t="s">
        <v>1303</v>
      </c>
      <c r="C33" s="464"/>
      <c r="D33" s="464"/>
      <c r="E33" s="464"/>
      <c r="F33" s="203"/>
      <c r="G33" s="208"/>
      <c r="H33" s="208"/>
      <c r="I33" s="313"/>
      <c r="J33" s="313"/>
      <c r="K33" s="313"/>
    </row>
    <row r="34" spans="1:11" ht="14.1" customHeight="1" x14ac:dyDescent="0.2">
      <c r="A34" s="205"/>
      <c r="B34" s="325"/>
      <c r="C34" s="325"/>
      <c r="D34" s="325"/>
      <c r="E34" s="325"/>
      <c r="F34" s="203"/>
      <c r="G34" s="325"/>
      <c r="H34" s="325"/>
      <c r="I34" s="313"/>
      <c r="J34" s="313"/>
      <c r="K34" s="313"/>
    </row>
    <row r="35" spans="1:11" ht="14.1" customHeight="1" x14ac:dyDescent="0.2">
      <c r="B35" s="325"/>
      <c r="C35" s="325"/>
      <c r="D35" s="325"/>
      <c r="E35" s="325"/>
      <c r="F35" s="203"/>
      <c r="G35" s="325"/>
      <c r="H35" s="325"/>
    </row>
    <row r="36" spans="1:11" ht="14.1" customHeight="1" x14ac:dyDescent="0.2">
      <c r="B36" s="313"/>
      <c r="C36" s="313"/>
      <c r="D36" s="313"/>
      <c r="E36" s="313"/>
      <c r="F36" s="203"/>
      <c r="G36" s="313"/>
      <c r="H36" s="313"/>
    </row>
    <row r="37" spans="1:11" ht="14.1" customHeight="1" x14ac:dyDescent="0.2">
      <c r="B37" s="313"/>
      <c r="C37" s="313"/>
      <c r="D37" s="313"/>
      <c r="E37" s="313"/>
      <c r="F37" s="203"/>
      <c r="G37" s="313"/>
      <c r="H37" s="313"/>
    </row>
  </sheetData>
  <customSheetViews>
    <customSheetView guid="{EDC1BD6E-863A-4FC6-A3A9-F32079F4F0C1}">
      <selection activeCell="L55" sqref="L55"/>
      <pageMargins left="0" right="0" top="0" bottom="0" header="0" footer="0"/>
      <pageSetup paperSize="9" orientation="portrait" verticalDpi="0" r:id="rId1"/>
    </customSheetView>
  </customSheetViews>
  <mergeCells count="5">
    <mergeCell ref="B23:E23"/>
    <mergeCell ref="B26:E28"/>
    <mergeCell ref="B30:E30"/>
    <mergeCell ref="B33:E33"/>
    <mergeCell ref="C3:E3"/>
  </mergeCells>
  <pageMargins left="0.70866141732283472" right="0.70866141732283472" top="0.74803149606299213" bottom="0.74803149606299213" header="0.31496062992125984" footer="0.31496062992125984"/>
  <pageSetup paperSize="9" scale="99" fitToHeight="0" orientation="portrait" verticalDpi="0" r:id="rId2"/>
  <headerFooter>
    <oddFooter>&amp;RPage &amp;P of &amp;N</oddFooter>
  </headerFooter>
  <ignoredErrors>
    <ignoredError sqref="C6:E6"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3">
    <pageSetUpPr fitToPage="1"/>
  </sheetPr>
  <dimension ref="A1:J392"/>
  <sheetViews>
    <sheetView showGridLines="0" zoomScaleNormal="100" workbookViewId="0">
      <selection activeCell="N4" sqref="N4"/>
    </sheetView>
  </sheetViews>
  <sheetFormatPr defaultRowHeight="13.7" customHeight="1" x14ac:dyDescent="0.25"/>
  <cols>
    <col min="1" max="1" width="1.42578125" customWidth="1"/>
    <col min="2" max="9" width="9.140625" style="83"/>
    <col min="10" max="10" width="12.85546875" style="83" customWidth="1"/>
  </cols>
  <sheetData>
    <row r="1" spans="1:10" s="317" customFormat="1" ht="13.7" customHeight="1" x14ac:dyDescent="0.25">
      <c r="A1" s="350" t="s">
        <v>1310</v>
      </c>
      <c r="B1" s="351"/>
      <c r="C1" s="351"/>
      <c r="D1" s="351"/>
      <c r="E1" s="351"/>
      <c r="F1" s="351"/>
      <c r="G1" s="435"/>
      <c r="H1" s="435"/>
      <c r="I1" s="435"/>
      <c r="J1" s="435"/>
    </row>
    <row r="2" spans="1:10" s="317" customFormat="1" ht="13.7" customHeight="1" x14ac:dyDescent="0.25">
      <c r="B2" s="83"/>
      <c r="C2" s="83"/>
      <c r="D2" s="83"/>
      <c r="E2" s="83"/>
      <c r="F2" s="83"/>
      <c r="G2" s="83"/>
      <c r="H2" s="83"/>
      <c r="I2" s="83"/>
      <c r="J2" s="83"/>
    </row>
    <row r="3" spans="1:10" ht="13.7" customHeight="1" x14ac:dyDescent="0.25">
      <c r="A3" s="317">
        <f>ROUNDDOWN(Staff!A25,0)+1</f>
        <v>9</v>
      </c>
      <c r="B3" s="82" t="str">
        <f>"Note "&amp;A3 &amp; " Pension costs"</f>
        <v>Note 9 Pension costs</v>
      </c>
    </row>
    <row r="4" spans="1:10" s="216" customFormat="1" ht="95.45" customHeight="1" x14ac:dyDescent="0.25">
      <c r="A4" s="317"/>
      <c r="B4" s="466" t="s">
        <v>1399</v>
      </c>
      <c r="C4" s="466"/>
      <c r="D4" s="466"/>
      <c r="E4" s="466"/>
      <c r="F4" s="466"/>
      <c r="G4" s="466"/>
      <c r="H4" s="466"/>
      <c r="I4" s="466"/>
      <c r="J4" s="466"/>
    </row>
    <row r="5" spans="1:10" s="216" customFormat="1" ht="52.5" customHeight="1" x14ac:dyDescent="0.25">
      <c r="A5" s="317"/>
      <c r="B5" s="466" t="s">
        <v>897</v>
      </c>
      <c r="C5" s="466"/>
      <c r="D5" s="466"/>
      <c r="E5" s="466"/>
      <c r="F5" s="466"/>
      <c r="G5" s="466"/>
      <c r="H5" s="466"/>
      <c r="I5" s="466"/>
      <c r="J5" s="466"/>
    </row>
    <row r="6" spans="1:10" s="317" customFormat="1" ht="15" x14ac:dyDescent="0.25">
      <c r="B6" s="430"/>
      <c r="C6" s="430"/>
      <c r="D6" s="430"/>
      <c r="E6" s="430"/>
      <c r="F6" s="430"/>
      <c r="G6" s="430"/>
      <c r="H6" s="430"/>
      <c r="I6" s="430"/>
      <c r="J6" s="430"/>
    </row>
    <row r="7" spans="1:10" s="216" customFormat="1" ht="13.7" customHeight="1" x14ac:dyDescent="0.25">
      <c r="A7" s="317"/>
      <c r="B7" s="465" t="s">
        <v>898</v>
      </c>
      <c r="C7" s="465"/>
      <c r="D7" s="465"/>
      <c r="E7" s="465"/>
      <c r="F7" s="465"/>
      <c r="G7" s="465"/>
      <c r="H7" s="465"/>
      <c r="I7" s="465"/>
      <c r="J7" s="465"/>
    </row>
    <row r="8" spans="1:10" s="216" customFormat="1" ht="82.5" customHeight="1" x14ac:dyDescent="0.25">
      <c r="A8" s="317"/>
      <c r="B8" s="444" t="s">
        <v>1400</v>
      </c>
      <c r="C8" s="444"/>
      <c r="D8" s="444"/>
      <c r="E8" s="444"/>
      <c r="F8" s="444"/>
      <c r="G8" s="444"/>
      <c r="H8" s="444"/>
      <c r="I8" s="444"/>
      <c r="J8" s="444"/>
    </row>
    <row r="9" spans="1:10" s="216" customFormat="1" ht="15" x14ac:dyDescent="0.25">
      <c r="A9" s="317"/>
      <c r="B9" s="83"/>
      <c r="C9" s="83"/>
      <c r="D9" s="83"/>
      <c r="E9" s="83"/>
      <c r="F9" s="83"/>
      <c r="G9" s="83"/>
      <c r="H9" s="83"/>
      <c r="I9" s="83"/>
      <c r="J9" s="83"/>
    </row>
    <row r="10" spans="1:10" s="216" customFormat="1" ht="40.5" customHeight="1" x14ac:dyDescent="0.25">
      <c r="A10" s="317"/>
      <c r="B10" s="466" t="s">
        <v>899</v>
      </c>
      <c r="C10" s="466"/>
      <c r="D10" s="466"/>
      <c r="E10" s="466"/>
      <c r="F10" s="466"/>
      <c r="G10" s="466"/>
      <c r="H10" s="466"/>
      <c r="I10" s="466"/>
      <c r="J10" s="466"/>
    </row>
    <row r="11" spans="1:10" s="216" customFormat="1" ht="13.7" customHeight="1" x14ac:dyDescent="0.25">
      <c r="A11" s="317"/>
      <c r="B11" s="83"/>
      <c r="C11" s="83"/>
      <c r="D11" s="83"/>
      <c r="E11" s="83"/>
      <c r="F11" s="83"/>
      <c r="G11" s="83"/>
      <c r="H11" s="83"/>
      <c r="I11" s="83"/>
      <c r="J11" s="83"/>
    </row>
    <row r="12" spans="1:10" s="216" customFormat="1" ht="13.7" customHeight="1" x14ac:dyDescent="0.25">
      <c r="A12" s="317"/>
      <c r="B12" s="465" t="s">
        <v>900</v>
      </c>
      <c r="C12" s="465"/>
      <c r="D12" s="465"/>
      <c r="E12" s="465"/>
      <c r="F12" s="465"/>
      <c r="G12" s="465"/>
      <c r="H12" s="465"/>
      <c r="I12" s="465"/>
      <c r="J12" s="465"/>
    </row>
    <row r="13" spans="1:10" s="216" customFormat="1" ht="36.75" customHeight="1" x14ac:dyDescent="0.25">
      <c r="A13" s="317"/>
      <c r="B13" s="466" t="s">
        <v>901</v>
      </c>
      <c r="C13" s="466"/>
      <c r="D13" s="466"/>
      <c r="E13" s="466"/>
      <c r="F13" s="466"/>
      <c r="G13" s="466"/>
      <c r="H13" s="466"/>
      <c r="I13" s="466"/>
      <c r="J13" s="466"/>
    </row>
    <row r="14" spans="1:10" s="216" customFormat="1" ht="13.7" customHeight="1" x14ac:dyDescent="0.25">
      <c r="A14" s="317"/>
      <c r="B14" s="313"/>
      <c r="C14" s="313"/>
      <c r="D14" s="313"/>
      <c r="E14" s="313"/>
      <c r="F14" s="313"/>
      <c r="G14" s="313"/>
      <c r="H14" s="313"/>
      <c r="I14" s="313"/>
      <c r="J14" s="313"/>
    </row>
    <row r="15" spans="1:10" s="216" customFormat="1" ht="26.1" customHeight="1" x14ac:dyDescent="0.25">
      <c r="A15" s="317"/>
      <c r="B15" s="466" t="s">
        <v>1401</v>
      </c>
      <c r="C15" s="466"/>
      <c r="D15" s="466"/>
      <c r="E15" s="466"/>
      <c r="F15" s="466"/>
      <c r="G15" s="466"/>
      <c r="H15" s="466"/>
      <c r="I15" s="466"/>
      <c r="J15" s="466"/>
    </row>
    <row r="16" spans="1:10" s="281" customFormat="1" ht="44.45" customHeight="1" x14ac:dyDescent="0.25">
      <c r="B16" s="466" t="s">
        <v>1402</v>
      </c>
      <c r="C16" s="466"/>
      <c r="D16" s="466"/>
      <c r="E16" s="466"/>
      <c r="F16" s="466"/>
      <c r="G16" s="466"/>
      <c r="H16" s="466"/>
      <c r="I16" s="466"/>
      <c r="J16" s="466"/>
    </row>
    <row r="17" spans="2:10" s="21" customFormat="1" ht="72.599999999999994" customHeight="1" x14ac:dyDescent="0.2">
      <c r="B17" s="466" t="s">
        <v>1403</v>
      </c>
      <c r="C17" s="466"/>
      <c r="D17" s="466"/>
      <c r="E17" s="466"/>
      <c r="F17" s="466"/>
      <c r="G17" s="466"/>
      <c r="H17" s="466"/>
      <c r="I17" s="466"/>
      <c r="J17" s="466"/>
    </row>
    <row r="18" spans="2:10" s="21" customFormat="1" ht="13.7" customHeight="1" x14ac:dyDescent="0.2">
      <c r="B18" s="425"/>
      <c r="C18" s="425"/>
      <c r="D18" s="425"/>
      <c r="E18" s="425"/>
      <c r="F18" s="425"/>
      <c r="G18" s="425"/>
      <c r="H18" s="425"/>
      <c r="I18" s="425"/>
      <c r="J18" s="425"/>
    </row>
    <row r="19" spans="2:10" s="21" customFormat="1" ht="22.5" customHeight="1" x14ac:dyDescent="0.2">
      <c r="B19" s="425"/>
      <c r="C19" s="425"/>
      <c r="D19" s="425"/>
      <c r="E19" s="425"/>
      <c r="F19" s="425"/>
      <c r="G19" s="425"/>
      <c r="H19" s="425"/>
      <c r="I19" s="425"/>
      <c r="J19" s="425"/>
    </row>
    <row r="20" spans="2:10" s="21" customFormat="1" ht="13.7" customHeight="1" x14ac:dyDescent="0.2">
      <c r="B20" s="195"/>
      <c r="C20" s="195"/>
      <c r="D20" s="195"/>
      <c r="E20" s="195"/>
      <c r="F20" s="195"/>
      <c r="G20" s="195"/>
      <c r="H20" s="195"/>
      <c r="I20" s="195"/>
      <c r="J20" s="195"/>
    </row>
    <row r="21" spans="2:10" s="21" customFormat="1" ht="13.7" customHeight="1" x14ac:dyDescent="0.2">
      <c r="B21" s="195"/>
      <c r="C21" s="195"/>
      <c r="D21" s="195"/>
      <c r="E21" s="195"/>
      <c r="F21" s="195"/>
      <c r="G21" s="195"/>
      <c r="H21" s="195"/>
      <c r="I21" s="195"/>
      <c r="J21" s="195"/>
    </row>
    <row r="22" spans="2:10" s="21" customFormat="1" ht="13.7" customHeight="1" x14ac:dyDescent="0.2">
      <c r="B22" s="195"/>
      <c r="C22" s="195"/>
      <c r="D22" s="195"/>
      <c r="E22" s="195"/>
      <c r="F22" s="195"/>
      <c r="G22" s="195"/>
      <c r="H22" s="195"/>
      <c r="I22" s="195"/>
      <c r="J22" s="195"/>
    </row>
    <row r="23" spans="2:10" s="21" customFormat="1" ht="13.7" customHeight="1" x14ac:dyDescent="0.2">
      <c r="B23" s="195"/>
      <c r="C23" s="195"/>
      <c r="D23" s="195"/>
      <c r="E23" s="195"/>
      <c r="F23" s="195"/>
      <c r="G23" s="195"/>
      <c r="H23" s="195"/>
      <c r="I23" s="195"/>
      <c r="J23" s="195"/>
    </row>
    <row r="24" spans="2:10" s="21" customFormat="1" ht="13.7" customHeight="1" x14ac:dyDescent="0.2">
      <c r="B24" s="195"/>
      <c r="C24" s="195"/>
      <c r="D24" s="195"/>
      <c r="E24" s="195"/>
      <c r="F24" s="195"/>
      <c r="G24" s="195"/>
      <c r="H24" s="195"/>
      <c r="I24" s="195"/>
      <c r="J24" s="195"/>
    </row>
    <row r="25" spans="2:10" s="21" customFormat="1" ht="13.7" customHeight="1" x14ac:dyDescent="0.2">
      <c r="B25" s="195"/>
      <c r="C25" s="195"/>
      <c r="D25" s="195"/>
      <c r="E25" s="195"/>
      <c r="F25" s="195"/>
      <c r="G25" s="195"/>
      <c r="H25" s="195"/>
      <c r="I25" s="195"/>
      <c r="J25" s="195"/>
    </row>
    <row r="26" spans="2:10" s="21" customFormat="1" ht="13.7" customHeight="1" x14ac:dyDescent="0.2">
      <c r="B26" s="195"/>
      <c r="C26" s="195"/>
      <c r="D26" s="195"/>
      <c r="E26" s="195"/>
      <c r="F26" s="195"/>
      <c r="G26" s="195"/>
      <c r="H26" s="195"/>
      <c r="I26" s="195"/>
      <c r="J26" s="195"/>
    </row>
    <row r="27" spans="2:10" s="21" customFormat="1" ht="13.7" customHeight="1" x14ac:dyDescent="0.2">
      <c r="B27" s="195"/>
      <c r="C27" s="195"/>
      <c r="D27" s="195"/>
      <c r="E27" s="195"/>
      <c r="F27" s="195"/>
      <c r="G27" s="195"/>
      <c r="H27" s="195"/>
      <c r="I27" s="195"/>
      <c r="J27" s="195"/>
    </row>
    <row r="28" spans="2:10" s="21" customFormat="1" ht="13.7" customHeight="1" x14ac:dyDescent="0.2">
      <c r="B28" s="195"/>
      <c r="C28" s="195"/>
      <c r="D28" s="195"/>
      <c r="E28" s="195"/>
      <c r="F28" s="195"/>
      <c r="G28" s="195"/>
      <c r="H28" s="195"/>
      <c r="I28" s="195"/>
      <c r="J28" s="195"/>
    </row>
    <row r="29" spans="2:10" s="21" customFormat="1" ht="13.7" customHeight="1" x14ac:dyDescent="0.2">
      <c r="B29" s="195"/>
      <c r="C29" s="195"/>
      <c r="D29" s="195"/>
      <c r="E29" s="195"/>
      <c r="F29" s="195"/>
      <c r="G29" s="195"/>
      <c r="H29" s="195"/>
      <c r="I29" s="195"/>
      <c r="J29" s="195"/>
    </row>
    <row r="30" spans="2:10" s="21" customFormat="1" ht="13.7" customHeight="1" x14ac:dyDescent="0.2">
      <c r="B30" s="195"/>
      <c r="C30" s="195"/>
      <c r="D30" s="195"/>
      <c r="E30" s="195"/>
      <c r="F30" s="195"/>
      <c r="G30" s="195"/>
      <c r="H30" s="195"/>
      <c r="I30" s="195"/>
      <c r="J30" s="195"/>
    </row>
    <row r="31" spans="2:10" s="21" customFormat="1" ht="13.7" customHeight="1" x14ac:dyDescent="0.2">
      <c r="B31" s="195"/>
      <c r="C31" s="195"/>
      <c r="D31" s="195"/>
      <c r="E31" s="195"/>
      <c r="F31" s="195"/>
      <c r="G31" s="195"/>
      <c r="H31" s="195"/>
      <c r="I31" s="195"/>
      <c r="J31" s="195"/>
    </row>
    <row r="32" spans="2:10" s="21" customFormat="1" ht="13.7" customHeight="1" x14ac:dyDescent="0.2">
      <c r="B32" s="195"/>
      <c r="C32" s="195"/>
      <c r="D32" s="195"/>
      <c r="E32" s="195"/>
      <c r="F32" s="195"/>
      <c r="G32" s="195"/>
      <c r="H32" s="195"/>
      <c r="I32" s="195"/>
      <c r="J32" s="195"/>
    </row>
    <row r="33" spans="2:10" s="21" customFormat="1" ht="13.7" customHeight="1" x14ac:dyDescent="0.2">
      <c r="B33" s="195"/>
      <c r="C33" s="195"/>
      <c r="D33" s="195"/>
      <c r="E33" s="195"/>
      <c r="F33" s="195"/>
      <c r="G33" s="195"/>
      <c r="H33" s="195"/>
      <c r="I33" s="195"/>
      <c r="J33" s="195"/>
    </row>
    <row r="34" spans="2:10" s="21" customFormat="1" ht="13.7" customHeight="1" x14ac:dyDescent="0.2">
      <c r="B34" s="195"/>
      <c r="C34" s="195"/>
      <c r="D34" s="195"/>
      <c r="E34" s="195"/>
      <c r="F34" s="195"/>
      <c r="G34" s="195"/>
      <c r="H34" s="195"/>
      <c r="I34" s="195"/>
      <c r="J34" s="195"/>
    </row>
    <row r="35" spans="2:10" s="21" customFormat="1" ht="13.7" customHeight="1" x14ac:dyDescent="0.2">
      <c r="B35" s="195"/>
      <c r="C35" s="195"/>
      <c r="D35" s="195"/>
      <c r="E35" s="195"/>
      <c r="F35" s="195"/>
      <c r="G35" s="195"/>
      <c r="H35" s="195"/>
      <c r="I35" s="195"/>
      <c r="J35" s="195"/>
    </row>
    <row r="36" spans="2:10" s="21" customFormat="1" ht="13.7" customHeight="1" x14ac:dyDescent="0.2">
      <c r="B36" s="195"/>
      <c r="C36" s="195"/>
      <c r="D36" s="195"/>
      <c r="E36" s="195"/>
      <c r="F36" s="195"/>
      <c r="G36" s="195"/>
      <c r="H36" s="195"/>
      <c r="I36" s="195"/>
      <c r="J36" s="195"/>
    </row>
    <row r="37" spans="2:10" s="21" customFormat="1" ht="13.7" customHeight="1" x14ac:dyDescent="0.2">
      <c r="B37" s="195"/>
      <c r="C37" s="195"/>
      <c r="D37" s="195"/>
      <c r="E37" s="195"/>
      <c r="F37" s="195"/>
      <c r="G37" s="195"/>
      <c r="H37" s="195"/>
      <c r="I37" s="195"/>
      <c r="J37" s="195"/>
    </row>
    <row r="38" spans="2:10" s="21" customFormat="1" ht="13.7" customHeight="1" x14ac:dyDescent="0.2">
      <c r="B38" s="195"/>
      <c r="C38" s="195"/>
      <c r="D38" s="195"/>
      <c r="E38" s="195"/>
      <c r="F38" s="195"/>
      <c r="G38" s="195"/>
      <c r="H38" s="195"/>
      <c r="I38" s="195"/>
      <c r="J38" s="195"/>
    </row>
    <row r="39" spans="2:10" s="21" customFormat="1" ht="13.7" customHeight="1" x14ac:dyDescent="0.2">
      <c r="B39" s="195"/>
      <c r="C39" s="195"/>
      <c r="D39" s="195"/>
      <c r="E39" s="195"/>
      <c r="F39" s="195"/>
      <c r="G39" s="195"/>
      <c r="H39" s="195"/>
      <c r="I39" s="195"/>
      <c r="J39" s="195"/>
    </row>
    <row r="40" spans="2:10" s="21" customFormat="1" ht="13.7" customHeight="1" x14ac:dyDescent="0.2">
      <c r="B40" s="195"/>
      <c r="C40" s="195"/>
      <c r="D40" s="195"/>
      <c r="E40" s="195"/>
      <c r="F40" s="195"/>
      <c r="G40" s="195"/>
      <c r="H40" s="195"/>
      <c r="I40" s="195"/>
      <c r="J40" s="195"/>
    </row>
    <row r="41" spans="2:10" s="21" customFormat="1" ht="13.7" customHeight="1" x14ac:dyDescent="0.2">
      <c r="B41" s="195"/>
      <c r="C41" s="195"/>
      <c r="D41" s="195"/>
      <c r="E41" s="195"/>
      <c r="F41" s="195"/>
      <c r="G41" s="195"/>
      <c r="H41" s="195"/>
      <c r="I41" s="195"/>
      <c r="J41" s="195"/>
    </row>
    <row r="42" spans="2:10" s="21" customFormat="1" ht="13.7" customHeight="1" x14ac:dyDescent="0.2">
      <c r="B42" s="195"/>
      <c r="C42" s="195"/>
      <c r="D42" s="195"/>
      <c r="E42" s="195"/>
      <c r="F42" s="195"/>
      <c r="G42" s="195"/>
      <c r="H42" s="195"/>
      <c r="I42" s="195"/>
      <c r="J42" s="195"/>
    </row>
    <row r="43" spans="2:10" s="21" customFormat="1" ht="13.7" customHeight="1" x14ac:dyDescent="0.2">
      <c r="B43" s="195"/>
      <c r="C43" s="195"/>
      <c r="D43" s="195"/>
      <c r="E43" s="195"/>
      <c r="F43" s="195"/>
      <c r="G43" s="195"/>
      <c r="H43" s="195"/>
      <c r="I43" s="195"/>
      <c r="J43" s="195"/>
    </row>
    <row r="44" spans="2:10" s="21" customFormat="1" ht="13.7" customHeight="1" x14ac:dyDescent="0.2">
      <c r="B44" s="195"/>
      <c r="C44" s="195"/>
      <c r="D44" s="195"/>
      <c r="E44" s="195"/>
      <c r="F44" s="195"/>
      <c r="G44" s="195"/>
      <c r="H44" s="195"/>
      <c r="I44" s="195"/>
      <c r="J44" s="195"/>
    </row>
    <row r="45" spans="2:10" s="21" customFormat="1" ht="13.7" customHeight="1" x14ac:dyDescent="0.2">
      <c r="B45" s="195"/>
      <c r="C45" s="195"/>
      <c r="D45" s="195"/>
      <c r="E45" s="195"/>
      <c r="F45" s="195"/>
      <c r="G45" s="195"/>
      <c r="H45" s="195"/>
      <c r="I45" s="195"/>
      <c r="J45" s="195"/>
    </row>
    <row r="46" spans="2:10" s="21" customFormat="1" ht="13.7" customHeight="1" x14ac:dyDescent="0.2">
      <c r="B46" s="195"/>
      <c r="C46" s="195"/>
      <c r="D46" s="195"/>
      <c r="E46" s="195"/>
      <c r="F46" s="195"/>
      <c r="G46" s="195"/>
      <c r="H46" s="195"/>
      <c r="I46" s="195"/>
      <c r="J46" s="195"/>
    </row>
    <row r="47" spans="2:10" s="21" customFormat="1" ht="13.7" customHeight="1" x14ac:dyDescent="0.2">
      <c r="B47" s="195"/>
      <c r="C47" s="195"/>
      <c r="D47" s="195"/>
      <c r="E47" s="195"/>
      <c r="F47" s="195"/>
      <c r="G47" s="195"/>
      <c r="H47" s="195"/>
      <c r="I47" s="195"/>
      <c r="J47" s="195"/>
    </row>
    <row r="48" spans="2:10" s="21" customFormat="1" ht="13.7" customHeight="1" x14ac:dyDescent="0.2">
      <c r="B48" s="195"/>
      <c r="C48" s="195"/>
      <c r="D48" s="195"/>
      <c r="E48" s="195"/>
      <c r="F48" s="195"/>
      <c r="G48" s="195"/>
      <c r="H48" s="195"/>
      <c r="I48" s="195"/>
      <c r="J48" s="195"/>
    </row>
    <row r="49" spans="2:10" s="21" customFormat="1" ht="13.7" customHeight="1" x14ac:dyDescent="0.2">
      <c r="B49" s="195"/>
      <c r="C49" s="195"/>
      <c r="D49" s="195"/>
      <c r="E49" s="195"/>
      <c r="F49" s="195"/>
      <c r="G49" s="195"/>
      <c r="H49" s="195"/>
      <c r="I49" s="195"/>
      <c r="J49" s="195"/>
    </row>
    <row r="50" spans="2:10" s="21" customFormat="1" ht="13.7" customHeight="1" x14ac:dyDescent="0.2">
      <c r="B50" s="195"/>
      <c r="C50" s="195"/>
      <c r="D50" s="195"/>
      <c r="E50" s="195"/>
      <c r="F50" s="195"/>
      <c r="G50" s="195"/>
      <c r="H50" s="195"/>
      <c r="I50" s="195"/>
      <c r="J50" s="195"/>
    </row>
    <row r="51" spans="2:10" s="21" customFormat="1" ht="13.7" customHeight="1" x14ac:dyDescent="0.2">
      <c r="B51" s="195"/>
      <c r="C51" s="195"/>
      <c r="D51" s="195"/>
      <c r="E51" s="195"/>
      <c r="F51" s="195"/>
      <c r="G51" s="195"/>
      <c r="H51" s="195"/>
      <c r="I51" s="195"/>
      <c r="J51" s="195"/>
    </row>
    <row r="52" spans="2:10" s="21" customFormat="1" ht="13.7" customHeight="1" x14ac:dyDescent="0.2">
      <c r="B52" s="195"/>
      <c r="C52" s="195"/>
      <c r="D52" s="195"/>
      <c r="E52" s="195"/>
      <c r="F52" s="195"/>
      <c r="G52" s="195"/>
      <c r="H52" s="195"/>
      <c r="I52" s="195"/>
      <c r="J52" s="195"/>
    </row>
    <row r="53" spans="2:10" s="21" customFormat="1" ht="13.7" customHeight="1" x14ac:dyDescent="0.2">
      <c r="B53" s="195"/>
      <c r="C53" s="195"/>
      <c r="D53" s="195"/>
      <c r="E53" s="195"/>
      <c r="F53" s="195"/>
      <c r="G53" s="195"/>
      <c r="H53" s="195"/>
      <c r="I53" s="195"/>
      <c r="J53" s="195"/>
    </row>
    <row r="54" spans="2:10" s="21" customFormat="1" ht="13.7" customHeight="1" x14ac:dyDescent="0.2">
      <c r="B54" s="195"/>
      <c r="C54" s="195"/>
      <c r="D54" s="195"/>
      <c r="E54" s="195"/>
      <c r="F54" s="195"/>
      <c r="G54" s="195"/>
      <c r="H54" s="195"/>
      <c r="I54" s="195"/>
      <c r="J54" s="195"/>
    </row>
    <row r="55" spans="2:10" s="21" customFormat="1" ht="13.7" customHeight="1" x14ac:dyDescent="0.2">
      <c r="B55" s="195"/>
      <c r="C55" s="195"/>
      <c r="D55" s="195"/>
      <c r="E55" s="195"/>
      <c r="F55" s="195"/>
      <c r="G55" s="195"/>
      <c r="H55" s="195"/>
      <c r="I55" s="195"/>
      <c r="J55" s="195"/>
    </row>
    <row r="56" spans="2:10" s="21" customFormat="1" ht="13.7" customHeight="1" x14ac:dyDescent="0.2">
      <c r="B56" s="195"/>
      <c r="C56" s="195"/>
      <c r="D56" s="195"/>
      <c r="E56" s="195"/>
      <c r="F56" s="195"/>
      <c r="G56" s="195"/>
      <c r="H56" s="195"/>
      <c r="I56" s="195"/>
      <c r="J56" s="195"/>
    </row>
    <row r="57" spans="2:10" s="21" customFormat="1" ht="13.7" customHeight="1" x14ac:dyDescent="0.2">
      <c r="B57" s="195"/>
      <c r="C57" s="195"/>
      <c r="D57" s="195"/>
      <c r="E57" s="195"/>
      <c r="F57" s="195"/>
      <c r="G57" s="195"/>
      <c r="H57" s="195"/>
      <c r="I57" s="195"/>
      <c r="J57" s="195"/>
    </row>
    <row r="58" spans="2:10" s="21" customFormat="1" ht="13.7" customHeight="1" x14ac:dyDescent="0.2">
      <c r="B58" s="195"/>
      <c r="C58" s="195"/>
      <c r="D58" s="195"/>
      <c r="E58" s="195"/>
      <c r="F58" s="195"/>
      <c r="G58" s="195"/>
      <c r="H58" s="195"/>
      <c r="I58" s="195"/>
      <c r="J58" s="195"/>
    </row>
    <row r="59" spans="2:10" s="21" customFormat="1" ht="13.7" customHeight="1" x14ac:dyDescent="0.2">
      <c r="B59" s="195"/>
      <c r="C59" s="195"/>
      <c r="D59" s="195"/>
      <c r="E59" s="195"/>
      <c r="F59" s="195"/>
      <c r="G59" s="195"/>
      <c r="H59" s="195"/>
      <c r="I59" s="195"/>
      <c r="J59" s="195"/>
    </row>
    <row r="60" spans="2:10" s="21" customFormat="1" ht="13.7" customHeight="1" x14ac:dyDescent="0.2">
      <c r="B60" s="195"/>
      <c r="C60" s="195"/>
      <c r="D60" s="195"/>
      <c r="E60" s="195"/>
      <c r="F60" s="195"/>
      <c r="G60" s="195"/>
      <c r="H60" s="195"/>
      <c r="I60" s="195"/>
      <c r="J60" s="195"/>
    </row>
    <row r="61" spans="2:10" s="21" customFormat="1" ht="13.7" customHeight="1" x14ac:dyDescent="0.2">
      <c r="B61" s="195"/>
      <c r="C61" s="195"/>
      <c r="D61" s="195"/>
      <c r="E61" s="195"/>
      <c r="F61" s="195"/>
      <c r="G61" s="195"/>
      <c r="H61" s="195"/>
      <c r="I61" s="195"/>
      <c r="J61" s="195"/>
    </row>
    <row r="62" spans="2:10" s="21" customFormat="1" ht="13.7" customHeight="1" x14ac:dyDescent="0.2">
      <c r="B62" s="195"/>
      <c r="C62" s="195"/>
      <c r="D62" s="195"/>
      <c r="E62" s="195"/>
      <c r="F62" s="195"/>
      <c r="G62" s="195"/>
      <c r="H62" s="195"/>
      <c r="I62" s="195"/>
      <c r="J62" s="195"/>
    </row>
    <row r="63" spans="2:10" s="21" customFormat="1" ht="13.7" customHeight="1" x14ac:dyDescent="0.2">
      <c r="B63" s="195"/>
      <c r="C63" s="195"/>
      <c r="D63" s="195"/>
      <c r="E63" s="195"/>
      <c r="F63" s="195"/>
      <c r="G63" s="195"/>
      <c r="H63" s="195"/>
      <c r="I63" s="195"/>
      <c r="J63" s="195"/>
    </row>
    <row r="64" spans="2:10" s="21" customFormat="1" ht="13.7" customHeight="1" x14ac:dyDescent="0.2">
      <c r="B64" s="195"/>
      <c r="C64" s="195"/>
      <c r="D64" s="195"/>
      <c r="E64" s="195"/>
      <c r="F64" s="195"/>
      <c r="G64" s="195"/>
      <c r="H64" s="195"/>
      <c r="I64" s="195"/>
      <c r="J64" s="195"/>
    </row>
    <row r="65" spans="2:10" s="21" customFormat="1" ht="13.7" customHeight="1" x14ac:dyDescent="0.2">
      <c r="B65" s="195"/>
      <c r="C65" s="195"/>
      <c r="D65" s="195"/>
      <c r="E65" s="195"/>
      <c r="F65" s="195"/>
      <c r="G65" s="195"/>
      <c r="H65" s="195"/>
      <c r="I65" s="195"/>
      <c r="J65" s="195"/>
    </row>
    <row r="66" spans="2:10" s="21" customFormat="1" ht="13.7" customHeight="1" x14ac:dyDescent="0.2">
      <c r="B66" s="195"/>
      <c r="C66" s="195"/>
      <c r="D66" s="195"/>
      <c r="E66" s="195"/>
      <c r="F66" s="195"/>
      <c r="G66" s="195"/>
      <c r="H66" s="195"/>
      <c r="I66" s="195"/>
      <c r="J66" s="195"/>
    </row>
    <row r="67" spans="2:10" s="21" customFormat="1" ht="13.7" customHeight="1" x14ac:dyDescent="0.2">
      <c r="B67" s="195"/>
      <c r="C67" s="195"/>
      <c r="D67" s="195"/>
      <c r="E67" s="195"/>
      <c r="F67" s="195"/>
      <c r="G67" s="195"/>
      <c r="H67" s="195"/>
      <c r="I67" s="195"/>
      <c r="J67" s="195"/>
    </row>
    <row r="68" spans="2:10" s="21" customFormat="1" ht="13.7" customHeight="1" x14ac:dyDescent="0.2">
      <c r="B68" s="195"/>
      <c r="C68" s="195"/>
      <c r="D68" s="195"/>
      <c r="E68" s="195"/>
      <c r="F68" s="195"/>
      <c r="G68" s="195"/>
      <c r="H68" s="195"/>
      <c r="I68" s="195"/>
      <c r="J68" s="195"/>
    </row>
    <row r="69" spans="2:10" s="21" customFormat="1" ht="13.7" customHeight="1" x14ac:dyDescent="0.2">
      <c r="B69" s="195"/>
      <c r="C69" s="195"/>
      <c r="D69" s="195"/>
      <c r="E69" s="195"/>
      <c r="F69" s="195"/>
      <c r="G69" s="195"/>
      <c r="H69" s="195"/>
      <c r="I69" s="195"/>
      <c r="J69" s="195"/>
    </row>
    <row r="70" spans="2:10" s="21" customFormat="1" ht="13.7" customHeight="1" x14ac:dyDescent="0.2">
      <c r="B70" s="195"/>
      <c r="C70" s="195"/>
      <c r="D70" s="195"/>
      <c r="E70" s="195"/>
      <c r="F70" s="195"/>
      <c r="G70" s="195"/>
      <c r="H70" s="195"/>
      <c r="I70" s="195"/>
      <c r="J70" s="195"/>
    </row>
    <row r="71" spans="2:10" s="21" customFormat="1" ht="13.7" customHeight="1" x14ac:dyDescent="0.2">
      <c r="B71" s="195"/>
      <c r="C71" s="195"/>
      <c r="D71" s="195"/>
      <c r="E71" s="195"/>
      <c r="F71" s="195"/>
      <c r="G71" s="195"/>
      <c r="H71" s="195"/>
      <c r="I71" s="195"/>
      <c r="J71" s="195"/>
    </row>
    <row r="72" spans="2:10" s="21" customFormat="1" ht="13.7" customHeight="1" x14ac:dyDescent="0.2">
      <c r="B72" s="195"/>
      <c r="C72" s="195"/>
      <c r="D72" s="195"/>
      <c r="E72" s="195"/>
      <c r="F72" s="195"/>
      <c r="G72" s="195"/>
      <c r="H72" s="195"/>
      <c r="I72" s="195"/>
      <c r="J72" s="195"/>
    </row>
    <row r="73" spans="2:10" s="21" customFormat="1" ht="13.7" customHeight="1" x14ac:dyDescent="0.2">
      <c r="B73" s="195"/>
      <c r="C73" s="195"/>
      <c r="D73" s="195"/>
      <c r="E73" s="195"/>
      <c r="F73" s="195"/>
      <c r="G73" s="195"/>
      <c r="H73" s="195"/>
      <c r="I73" s="195"/>
      <c r="J73" s="195"/>
    </row>
    <row r="74" spans="2:10" s="21" customFormat="1" ht="13.7" customHeight="1" x14ac:dyDescent="0.2">
      <c r="B74" s="195"/>
      <c r="C74" s="195"/>
      <c r="D74" s="195"/>
      <c r="E74" s="195"/>
      <c r="F74" s="195"/>
      <c r="G74" s="195"/>
      <c r="H74" s="195"/>
      <c r="I74" s="195"/>
      <c r="J74" s="195"/>
    </row>
    <row r="75" spans="2:10" s="21" customFormat="1" ht="13.7" customHeight="1" x14ac:dyDescent="0.2">
      <c r="B75" s="195"/>
      <c r="C75" s="195"/>
      <c r="D75" s="195"/>
      <c r="E75" s="195"/>
      <c r="F75" s="195"/>
      <c r="G75" s="195"/>
      <c r="H75" s="195"/>
      <c r="I75" s="195"/>
      <c r="J75" s="195"/>
    </row>
    <row r="76" spans="2:10" s="21" customFormat="1" ht="13.7" customHeight="1" x14ac:dyDescent="0.2">
      <c r="B76" s="195"/>
      <c r="C76" s="195"/>
      <c r="D76" s="195"/>
      <c r="E76" s="195"/>
      <c r="F76" s="195"/>
      <c r="G76" s="195"/>
      <c r="H76" s="195"/>
      <c r="I76" s="195"/>
      <c r="J76" s="195"/>
    </row>
    <row r="77" spans="2:10" s="21" customFormat="1" ht="13.7" customHeight="1" x14ac:dyDescent="0.2">
      <c r="B77" s="195"/>
      <c r="C77" s="195"/>
      <c r="D77" s="195"/>
      <c r="E77" s="195"/>
      <c r="F77" s="195"/>
      <c r="G77" s="195"/>
      <c r="H77" s="195"/>
      <c r="I77" s="195"/>
      <c r="J77" s="195"/>
    </row>
    <row r="78" spans="2:10" s="21" customFormat="1" ht="13.7" customHeight="1" x14ac:dyDescent="0.2">
      <c r="B78" s="195"/>
      <c r="C78" s="195"/>
      <c r="D78" s="195"/>
      <c r="E78" s="195"/>
      <c r="F78" s="195"/>
      <c r="G78" s="195"/>
      <c r="H78" s="195"/>
      <c r="I78" s="195"/>
      <c r="J78" s="195"/>
    </row>
    <row r="79" spans="2:10" s="21" customFormat="1" ht="13.7" customHeight="1" x14ac:dyDescent="0.2">
      <c r="B79" s="195"/>
      <c r="C79" s="195"/>
      <c r="D79" s="195"/>
      <c r="E79" s="195"/>
      <c r="F79" s="195"/>
      <c r="G79" s="195"/>
      <c r="H79" s="195"/>
      <c r="I79" s="195"/>
      <c r="J79" s="195"/>
    </row>
    <row r="80" spans="2:10" s="21" customFormat="1" ht="13.7" customHeight="1" x14ac:dyDescent="0.2">
      <c r="B80" s="195"/>
      <c r="C80" s="195"/>
      <c r="D80" s="195"/>
      <c r="E80" s="195"/>
      <c r="F80" s="195"/>
      <c r="G80" s="195"/>
      <c r="H80" s="195"/>
      <c r="I80" s="195"/>
      <c r="J80" s="195"/>
    </row>
    <row r="81" spans="2:10" s="21" customFormat="1" ht="13.7" customHeight="1" x14ac:dyDescent="0.2">
      <c r="B81" s="195"/>
      <c r="C81" s="195"/>
      <c r="D81" s="195"/>
      <c r="E81" s="195"/>
      <c r="F81" s="195"/>
      <c r="G81" s="195"/>
      <c r="H81" s="195"/>
      <c r="I81" s="195"/>
      <c r="J81" s="195"/>
    </row>
    <row r="82" spans="2:10" s="21" customFormat="1" ht="13.7" customHeight="1" x14ac:dyDescent="0.2">
      <c r="B82" s="195"/>
      <c r="C82" s="195"/>
      <c r="D82" s="195"/>
      <c r="E82" s="195"/>
      <c r="F82" s="195"/>
      <c r="G82" s="195"/>
      <c r="H82" s="195"/>
      <c r="I82" s="195"/>
      <c r="J82" s="195"/>
    </row>
    <row r="83" spans="2:10" s="21" customFormat="1" ht="13.7" customHeight="1" x14ac:dyDescent="0.2">
      <c r="B83" s="195"/>
      <c r="C83" s="195"/>
      <c r="D83" s="195"/>
      <c r="E83" s="195"/>
      <c r="F83" s="195"/>
      <c r="G83" s="195"/>
      <c r="H83" s="195"/>
      <c r="I83" s="195"/>
      <c r="J83" s="195"/>
    </row>
    <row r="84" spans="2:10" s="21" customFormat="1" ht="13.7" customHeight="1" x14ac:dyDescent="0.2">
      <c r="B84" s="195"/>
      <c r="C84" s="195"/>
      <c r="D84" s="195"/>
      <c r="E84" s="195"/>
      <c r="F84" s="195"/>
      <c r="G84" s="195"/>
      <c r="H84" s="195"/>
      <c r="I84" s="195"/>
      <c r="J84" s="195"/>
    </row>
    <row r="85" spans="2:10" s="21" customFormat="1" ht="13.7" customHeight="1" x14ac:dyDescent="0.2">
      <c r="B85" s="195"/>
      <c r="C85" s="195"/>
      <c r="D85" s="195"/>
      <c r="E85" s="195"/>
      <c r="F85" s="195"/>
      <c r="G85" s="195"/>
      <c r="H85" s="195"/>
      <c r="I85" s="195"/>
      <c r="J85" s="195"/>
    </row>
    <row r="86" spans="2:10" s="21" customFormat="1" ht="13.7" customHeight="1" x14ac:dyDescent="0.2">
      <c r="B86" s="195"/>
      <c r="C86" s="195"/>
      <c r="D86" s="195"/>
      <c r="E86" s="195"/>
      <c r="F86" s="195"/>
      <c r="G86" s="195"/>
      <c r="H86" s="195"/>
      <c r="I86" s="195"/>
      <c r="J86" s="195"/>
    </row>
    <row r="87" spans="2:10" s="21" customFormat="1" ht="13.7" customHeight="1" x14ac:dyDescent="0.2">
      <c r="B87" s="195"/>
      <c r="C87" s="195"/>
      <c r="D87" s="195"/>
      <c r="E87" s="195"/>
      <c r="F87" s="195"/>
      <c r="G87" s="195"/>
      <c r="H87" s="195"/>
      <c r="I87" s="195"/>
      <c r="J87" s="195"/>
    </row>
    <row r="88" spans="2:10" s="21" customFormat="1" ht="13.7" customHeight="1" x14ac:dyDescent="0.2">
      <c r="B88" s="195"/>
      <c r="C88" s="195"/>
      <c r="D88" s="195"/>
      <c r="E88" s="195"/>
      <c r="F88" s="195"/>
      <c r="G88" s="195"/>
      <c r="H88" s="195"/>
      <c r="I88" s="195"/>
      <c r="J88" s="195"/>
    </row>
    <row r="89" spans="2:10" s="21" customFormat="1" ht="13.7" customHeight="1" x14ac:dyDescent="0.2">
      <c r="B89" s="195"/>
      <c r="C89" s="195"/>
      <c r="D89" s="195"/>
      <c r="E89" s="195"/>
      <c r="F89" s="195"/>
      <c r="G89" s="195"/>
      <c r="H89" s="195"/>
      <c r="I89" s="195"/>
      <c r="J89" s="195"/>
    </row>
    <row r="90" spans="2:10" s="21" customFormat="1" ht="13.7" customHeight="1" x14ac:dyDescent="0.2">
      <c r="B90" s="195"/>
      <c r="C90" s="195"/>
      <c r="D90" s="195"/>
      <c r="E90" s="195"/>
      <c r="F90" s="195"/>
      <c r="G90" s="195"/>
      <c r="H90" s="195"/>
      <c r="I90" s="195"/>
      <c r="J90" s="195"/>
    </row>
    <row r="91" spans="2:10" s="21" customFormat="1" ht="13.7" customHeight="1" x14ac:dyDescent="0.2">
      <c r="B91" s="195"/>
      <c r="C91" s="195"/>
      <c r="D91" s="195"/>
      <c r="E91" s="195"/>
      <c r="F91" s="195"/>
      <c r="G91" s="195"/>
      <c r="H91" s="195"/>
      <c r="I91" s="195"/>
      <c r="J91" s="195"/>
    </row>
    <row r="92" spans="2:10" s="21" customFormat="1" ht="13.7" customHeight="1" x14ac:dyDescent="0.2">
      <c r="B92" s="195"/>
      <c r="C92" s="195"/>
      <c r="D92" s="195"/>
      <c r="E92" s="195"/>
      <c r="F92" s="195"/>
      <c r="G92" s="195"/>
      <c r="H92" s="195"/>
      <c r="I92" s="195"/>
      <c r="J92" s="195"/>
    </row>
    <row r="93" spans="2:10" s="21" customFormat="1" ht="13.7" customHeight="1" x14ac:dyDescent="0.2">
      <c r="B93" s="195"/>
      <c r="C93" s="195"/>
      <c r="D93" s="195"/>
      <c r="E93" s="195"/>
      <c r="F93" s="195"/>
      <c r="G93" s="195"/>
      <c r="H93" s="195"/>
      <c r="I93" s="195"/>
      <c r="J93" s="195"/>
    </row>
    <row r="94" spans="2:10" s="21" customFormat="1" ht="13.7" customHeight="1" x14ac:dyDescent="0.2">
      <c r="B94" s="195"/>
      <c r="C94" s="195"/>
      <c r="D94" s="195"/>
      <c r="E94" s="195"/>
      <c r="F94" s="195"/>
      <c r="G94" s="195"/>
      <c r="H94" s="195"/>
      <c r="I94" s="195"/>
      <c r="J94" s="195"/>
    </row>
    <row r="95" spans="2:10" s="21" customFormat="1" ht="13.7" customHeight="1" x14ac:dyDescent="0.2">
      <c r="B95" s="195"/>
      <c r="C95" s="195"/>
      <c r="D95" s="195"/>
      <c r="E95" s="195"/>
      <c r="F95" s="195"/>
      <c r="G95" s="195"/>
      <c r="H95" s="195"/>
      <c r="I95" s="195"/>
      <c r="J95" s="195"/>
    </row>
    <row r="96" spans="2:10" s="21" customFormat="1" ht="13.7" customHeight="1" x14ac:dyDescent="0.2">
      <c r="B96" s="195"/>
      <c r="C96" s="195"/>
      <c r="D96" s="195"/>
      <c r="E96" s="195"/>
      <c r="F96" s="195"/>
      <c r="G96" s="195"/>
      <c r="H96" s="195"/>
      <c r="I96" s="195"/>
      <c r="J96" s="195"/>
    </row>
    <row r="97" spans="2:10" s="21" customFormat="1" ht="13.7" customHeight="1" x14ac:dyDescent="0.2">
      <c r="B97" s="195"/>
      <c r="C97" s="195"/>
      <c r="D97" s="195"/>
      <c r="E97" s="195"/>
      <c r="F97" s="195"/>
      <c r="G97" s="195"/>
      <c r="H97" s="195"/>
      <c r="I97" s="195"/>
      <c r="J97" s="195"/>
    </row>
    <row r="98" spans="2:10" s="21" customFormat="1" ht="13.7" customHeight="1" x14ac:dyDescent="0.2">
      <c r="B98" s="195"/>
      <c r="C98" s="195"/>
      <c r="D98" s="195"/>
      <c r="E98" s="195"/>
      <c r="F98" s="195"/>
      <c r="G98" s="195"/>
      <c r="H98" s="195"/>
      <c r="I98" s="195"/>
      <c r="J98" s="195"/>
    </row>
    <row r="99" spans="2:10" s="21" customFormat="1" ht="13.7" customHeight="1" x14ac:dyDescent="0.2">
      <c r="B99" s="195"/>
      <c r="C99" s="195"/>
      <c r="D99" s="195"/>
      <c r="E99" s="195"/>
      <c r="F99" s="195"/>
      <c r="G99" s="195"/>
      <c r="H99" s="195"/>
      <c r="I99" s="195"/>
      <c r="J99" s="195"/>
    </row>
    <row r="100" spans="2:10" s="21" customFormat="1" ht="13.7" customHeight="1" x14ac:dyDescent="0.2">
      <c r="B100" s="195"/>
      <c r="C100" s="195"/>
      <c r="D100" s="195"/>
      <c r="E100" s="195"/>
      <c r="F100" s="195"/>
      <c r="G100" s="195"/>
      <c r="H100" s="195"/>
      <c r="I100" s="195"/>
      <c r="J100" s="195"/>
    </row>
    <row r="101" spans="2:10" s="21" customFormat="1" ht="13.7" customHeight="1" x14ac:dyDescent="0.2">
      <c r="B101" s="195"/>
      <c r="C101" s="195"/>
      <c r="D101" s="195"/>
      <c r="E101" s="195"/>
      <c r="F101" s="195"/>
      <c r="G101" s="195"/>
      <c r="H101" s="195"/>
      <c r="I101" s="195"/>
      <c r="J101" s="195"/>
    </row>
    <row r="102" spans="2:10" s="21" customFormat="1" ht="13.7" customHeight="1" x14ac:dyDescent="0.2">
      <c r="B102" s="195"/>
      <c r="C102" s="195"/>
      <c r="D102" s="195"/>
      <c r="E102" s="195"/>
      <c r="F102" s="195"/>
      <c r="G102" s="195"/>
      <c r="H102" s="195"/>
      <c r="I102" s="195"/>
      <c r="J102" s="195"/>
    </row>
    <row r="103" spans="2:10" s="21" customFormat="1" ht="13.7" customHeight="1" x14ac:dyDescent="0.2">
      <c r="B103" s="195"/>
      <c r="C103" s="195"/>
      <c r="D103" s="195"/>
      <c r="E103" s="195"/>
      <c r="F103" s="195"/>
      <c r="G103" s="195"/>
      <c r="H103" s="195"/>
      <c r="I103" s="195"/>
      <c r="J103" s="195"/>
    </row>
    <row r="104" spans="2:10" s="21" customFormat="1" ht="13.7" customHeight="1" x14ac:dyDescent="0.2">
      <c r="B104" s="195"/>
      <c r="C104" s="195"/>
      <c r="D104" s="195"/>
      <c r="E104" s="195"/>
      <c r="F104" s="195"/>
      <c r="G104" s="195"/>
      <c r="H104" s="195"/>
      <c r="I104" s="195"/>
      <c r="J104" s="195"/>
    </row>
    <row r="105" spans="2:10" s="21" customFormat="1" ht="13.7" customHeight="1" x14ac:dyDescent="0.2">
      <c r="B105" s="195"/>
      <c r="C105" s="195"/>
      <c r="D105" s="195"/>
      <c r="E105" s="195"/>
      <c r="F105" s="195"/>
      <c r="G105" s="195"/>
      <c r="H105" s="195"/>
      <c r="I105" s="195"/>
      <c r="J105" s="195"/>
    </row>
    <row r="106" spans="2:10" s="21" customFormat="1" ht="13.7" customHeight="1" x14ac:dyDescent="0.2">
      <c r="B106" s="195"/>
      <c r="C106" s="195"/>
      <c r="D106" s="195"/>
      <c r="E106" s="195"/>
      <c r="F106" s="195"/>
      <c r="G106" s="195"/>
      <c r="H106" s="195"/>
      <c r="I106" s="195"/>
      <c r="J106" s="195"/>
    </row>
    <row r="107" spans="2:10" s="21" customFormat="1" ht="13.7" customHeight="1" x14ac:dyDescent="0.2">
      <c r="B107" s="195"/>
      <c r="C107" s="195"/>
      <c r="D107" s="195"/>
      <c r="E107" s="195"/>
      <c r="F107" s="195"/>
      <c r="G107" s="195"/>
      <c r="H107" s="195"/>
      <c r="I107" s="195"/>
      <c r="J107" s="195"/>
    </row>
    <row r="108" spans="2:10" s="21" customFormat="1" ht="13.7" customHeight="1" x14ac:dyDescent="0.2">
      <c r="B108" s="195"/>
      <c r="C108" s="195"/>
      <c r="D108" s="195"/>
      <c r="E108" s="195"/>
      <c r="F108" s="195"/>
      <c r="G108" s="195"/>
      <c r="H108" s="195"/>
      <c r="I108" s="195"/>
      <c r="J108" s="195"/>
    </row>
    <row r="109" spans="2:10" s="21" customFormat="1" ht="13.7" customHeight="1" x14ac:dyDescent="0.2">
      <c r="B109" s="195"/>
      <c r="C109" s="195"/>
      <c r="D109" s="195"/>
      <c r="E109" s="195"/>
      <c r="F109" s="195"/>
      <c r="G109" s="195"/>
      <c r="H109" s="195"/>
      <c r="I109" s="195"/>
      <c r="J109" s="195"/>
    </row>
    <row r="110" spans="2:10" s="21" customFormat="1" ht="13.7" customHeight="1" x14ac:dyDescent="0.2">
      <c r="B110" s="195"/>
      <c r="C110" s="195"/>
      <c r="D110" s="195"/>
      <c r="E110" s="195"/>
      <c r="F110" s="195"/>
      <c r="G110" s="195"/>
      <c r="H110" s="195"/>
      <c r="I110" s="195"/>
      <c r="J110" s="195"/>
    </row>
    <row r="111" spans="2:10" s="21" customFormat="1" ht="13.7" customHeight="1" x14ac:dyDescent="0.2">
      <c r="B111" s="195"/>
      <c r="C111" s="195"/>
      <c r="D111" s="195"/>
      <c r="E111" s="195"/>
      <c r="F111" s="195"/>
      <c r="G111" s="195"/>
      <c r="H111" s="195"/>
      <c r="I111" s="195"/>
      <c r="J111" s="195"/>
    </row>
    <row r="112" spans="2:10" s="21" customFormat="1" ht="13.7" customHeight="1" x14ac:dyDescent="0.2">
      <c r="B112" s="195"/>
      <c r="C112" s="195"/>
      <c r="D112" s="195"/>
      <c r="E112" s="195"/>
      <c r="F112" s="195"/>
      <c r="G112" s="195"/>
      <c r="H112" s="195"/>
      <c r="I112" s="195"/>
      <c r="J112" s="195"/>
    </row>
    <row r="113" spans="2:10" s="21" customFormat="1" ht="13.7" customHeight="1" x14ac:dyDescent="0.2">
      <c r="B113" s="195"/>
      <c r="C113" s="195"/>
      <c r="D113" s="195"/>
      <c r="E113" s="195"/>
      <c r="F113" s="195"/>
      <c r="G113" s="195"/>
      <c r="H113" s="195"/>
      <c r="I113" s="195"/>
      <c r="J113" s="195"/>
    </row>
    <row r="114" spans="2:10" s="21" customFormat="1" ht="13.7" customHeight="1" x14ac:dyDescent="0.2">
      <c r="B114" s="195"/>
      <c r="C114" s="195"/>
      <c r="D114" s="195"/>
      <c r="E114" s="195"/>
      <c r="F114" s="195"/>
      <c r="G114" s="195"/>
      <c r="H114" s="195"/>
      <c r="I114" s="195"/>
      <c r="J114" s="195"/>
    </row>
    <row r="115" spans="2:10" s="21" customFormat="1" ht="13.7" customHeight="1" x14ac:dyDescent="0.2">
      <c r="B115" s="195"/>
      <c r="C115" s="195"/>
      <c r="D115" s="195"/>
      <c r="E115" s="195"/>
      <c r="F115" s="195"/>
      <c r="G115" s="195"/>
      <c r="H115" s="195"/>
      <c r="I115" s="195"/>
      <c r="J115" s="195"/>
    </row>
    <row r="116" spans="2:10" s="21" customFormat="1" ht="13.7" customHeight="1" x14ac:dyDescent="0.2">
      <c r="B116" s="195"/>
      <c r="C116" s="195"/>
      <c r="D116" s="195"/>
      <c r="E116" s="195"/>
      <c r="F116" s="195"/>
      <c r="G116" s="195"/>
      <c r="H116" s="195"/>
      <c r="I116" s="195"/>
      <c r="J116" s="195"/>
    </row>
    <row r="117" spans="2:10" s="21" customFormat="1" ht="13.7" customHeight="1" x14ac:dyDescent="0.2">
      <c r="B117" s="195"/>
      <c r="C117" s="195"/>
      <c r="D117" s="195"/>
      <c r="E117" s="195"/>
      <c r="F117" s="195"/>
      <c r="G117" s="195"/>
      <c r="H117" s="195"/>
      <c r="I117" s="195"/>
      <c r="J117" s="195"/>
    </row>
    <row r="118" spans="2:10" s="21" customFormat="1" ht="13.7" customHeight="1" x14ac:dyDescent="0.2">
      <c r="B118" s="195"/>
      <c r="C118" s="195"/>
      <c r="D118" s="195"/>
      <c r="E118" s="195"/>
      <c r="F118" s="195"/>
      <c r="G118" s="195"/>
      <c r="H118" s="195"/>
      <c r="I118" s="195"/>
      <c r="J118" s="195"/>
    </row>
    <row r="119" spans="2:10" s="21" customFormat="1" ht="13.7" customHeight="1" x14ac:dyDescent="0.2">
      <c r="B119" s="195"/>
      <c r="C119" s="195"/>
      <c r="D119" s="195"/>
      <c r="E119" s="195"/>
      <c r="F119" s="195"/>
      <c r="G119" s="195"/>
      <c r="H119" s="195"/>
      <c r="I119" s="195"/>
      <c r="J119" s="195"/>
    </row>
    <row r="120" spans="2:10" s="21" customFormat="1" ht="13.7" customHeight="1" x14ac:dyDescent="0.2">
      <c r="B120" s="195"/>
      <c r="C120" s="195"/>
      <c r="D120" s="195"/>
      <c r="E120" s="195"/>
      <c r="F120" s="195"/>
      <c r="G120" s="195"/>
      <c r="H120" s="195"/>
      <c r="I120" s="195"/>
      <c r="J120" s="195"/>
    </row>
    <row r="121" spans="2:10" s="21" customFormat="1" ht="13.7" customHeight="1" x14ac:dyDescent="0.2">
      <c r="B121" s="195"/>
      <c r="C121" s="195"/>
      <c r="D121" s="195"/>
      <c r="E121" s="195"/>
      <c r="F121" s="195"/>
      <c r="G121" s="195"/>
      <c r="H121" s="195"/>
      <c r="I121" s="195"/>
      <c r="J121" s="195"/>
    </row>
    <row r="122" spans="2:10" s="21" customFormat="1" ht="13.7" customHeight="1" x14ac:dyDescent="0.2">
      <c r="B122" s="195"/>
      <c r="C122" s="195"/>
      <c r="D122" s="195"/>
      <c r="E122" s="195"/>
      <c r="F122" s="195"/>
      <c r="G122" s="195"/>
      <c r="H122" s="195"/>
      <c r="I122" s="195"/>
      <c r="J122" s="195"/>
    </row>
    <row r="123" spans="2:10" s="21" customFormat="1" ht="13.7" customHeight="1" x14ac:dyDescent="0.2">
      <c r="B123" s="195"/>
      <c r="C123" s="195"/>
      <c r="D123" s="195"/>
      <c r="E123" s="195"/>
      <c r="F123" s="195"/>
      <c r="G123" s="195"/>
      <c r="H123" s="195"/>
      <c r="I123" s="195"/>
      <c r="J123" s="195"/>
    </row>
    <row r="124" spans="2:10" s="21" customFormat="1" ht="13.7" customHeight="1" x14ac:dyDescent="0.2">
      <c r="B124" s="195"/>
      <c r="C124" s="195"/>
      <c r="D124" s="195"/>
      <c r="E124" s="195"/>
      <c r="F124" s="195"/>
      <c r="G124" s="195"/>
      <c r="H124" s="195"/>
      <c r="I124" s="195"/>
      <c r="J124" s="195"/>
    </row>
    <row r="125" spans="2:10" s="21" customFormat="1" ht="13.7" customHeight="1" x14ac:dyDescent="0.2">
      <c r="B125" s="195"/>
      <c r="C125" s="195"/>
      <c r="D125" s="195"/>
      <c r="E125" s="195"/>
      <c r="F125" s="195"/>
      <c r="G125" s="195"/>
      <c r="H125" s="195"/>
      <c r="I125" s="195"/>
      <c r="J125" s="195"/>
    </row>
    <row r="126" spans="2:10" s="21" customFormat="1" ht="13.7" customHeight="1" x14ac:dyDescent="0.2">
      <c r="B126" s="195"/>
      <c r="C126" s="195"/>
      <c r="D126" s="195"/>
      <c r="E126" s="195"/>
      <c r="F126" s="195"/>
      <c r="G126" s="195"/>
      <c r="H126" s="195"/>
      <c r="I126" s="195"/>
      <c r="J126" s="195"/>
    </row>
    <row r="127" spans="2:10" s="21" customFormat="1" ht="13.7" customHeight="1" x14ac:dyDescent="0.2">
      <c r="B127" s="195"/>
      <c r="C127" s="195"/>
      <c r="D127" s="195"/>
      <c r="E127" s="195"/>
      <c r="F127" s="195"/>
      <c r="G127" s="195"/>
      <c r="H127" s="195"/>
      <c r="I127" s="195"/>
      <c r="J127" s="195"/>
    </row>
    <row r="128" spans="2:10" s="21" customFormat="1" ht="13.7" customHeight="1" x14ac:dyDescent="0.2">
      <c r="B128" s="195"/>
      <c r="C128" s="195"/>
      <c r="D128" s="195"/>
      <c r="E128" s="195"/>
      <c r="F128" s="195"/>
      <c r="G128" s="195"/>
      <c r="H128" s="195"/>
      <c r="I128" s="195"/>
      <c r="J128" s="195"/>
    </row>
    <row r="129" spans="2:10" s="21" customFormat="1" ht="13.7" customHeight="1" x14ac:dyDescent="0.2">
      <c r="B129" s="195"/>
      <c r="C129" s="195"/>
      <c r="D129" s="195"/>
      <c r="E129" s="195"/>
      <c r="F129" s="195"/>
      <c r="G129" s="195"/>
      <c r="H129" s="195"/>
      <c r="I129" s="195"/>
      <c r="J129" s="195"/>
    </row>
    <row r="130" spans="2:10" s="21" customFormat="1" ht="13.7" customHeight="1" x14ac:dyDescent="0.2">
      <c r="B130" s="195"/>
      <c r="C130" s="195"/>
      <c r="D130" s="195"/>
      <c r="E130" s="195"/>
      <c r="F130" s="195"/>
      <c r="G130" s="195"/>
      <c r="H130" s="195"/>
      <c r="I130" s="195"/>
      <c r="J130" s="195"/>
    </row>
    <row r="131" spans="2:10" s="21" customFormat="1" ht="13.7" customHeight="1" x14ac:dyDescent="0.2">
      <c r="B131" s="195"/>
      <c r="C131" s="195"/>
      <c r="D131" s="195"/>
      <c r="E131" s="195"/>
      <c r="F131" s="195"/>
      <c r="G131" s="195"/>
      <c r="H131" s="195"/>
      <c r="I131" s="195"/>
      <c r="J131" s="195"/>
    </row>
    <row r="132" spans="2:10" s="21" customFormat="1" ht="13.7" customHeight="1" x14ac:dyDescent="0.2">
      <c r="B132" s="195"/>
      <c r="C132" s="195"/>
      <c r="D132" s="195"/>
      <c r="E132" s="195"/>
      <c r="F132" s="195"/>
      <c r="G132" s="195"/>
      <c r="H132" s="195"/>
      <c r="I132" s="195"/>
      <c r="J132" s="195"/>
    </row>
    <row r="133" spans="2:10" s="21" customFormat="1" ht="13.7" customHeight="1" x14ac:dyDescent="0.2">
      <c r="B133" s="195"/>
      <c r="C133" s="195"/>
      <c r="D133" s="195"/>
      <c r="E133" s="195"/>
      <c r="F133" s="195"/>
      <c r="G133" s="195"/>
      <c r="H133" s="195"/>
      <c r="I133" s="195"/>
      <c r="J133" s="195"/>
    </row>
    <row r="134" spans="2:10" s="21" customFormat="1" ht="13.7" customHeight="1" x14ac:dyDescent="0.2">
      <c r="B134" s="195"/>
      <c r="C134" s="195"/>
      <c r="D134" s="195"/>
      <c r="E134" s="195"/>
      <c r="F134" s="195"/>
      <c r="G134" s="195"/>
      <c r="H134" s="195"/>
      <c r="I134" s="195"/>
      <c r="J134" s="195"/>
    </row>
    <row r="135" spans="2:10" s="21" customFormat="1" ht="13.7" customHeight="1" x14ac:dyDescent="0.2">
      <c r="B135" s="195"/>
      <c r="C135" s="195"/>
      <c r="D135" s="195"/>
      <c r="E135" s="195"/>
      <c r="F135" s="195"/>
      <c r="G135" s="195"/>
      <c r="H135" s="195"/>
      <c r="I135" s="195"/>
      <c r="J135" s="195"/>
    </row>
    <row r="136" spans="2:10" s="21" customFormat="1" ht="13.7" customHeight="1" x14ac:dyDescent="0.2">
      <c r="B136" s="195"/>
      <c r="C136" s="195"/>
      <c r="D136" s="195"/>
      <c r="E136" s="195"/>
      <c r="F136" s="195"/>
      <c r="G136" s="195"/>
      <c r="H136" s="195"/>
      <c r="I136" s="195"/>
      <c r="J136" s="195"/>
    </row>
    <row r="137" spans="2:10" s="21" customFormat="1" ht="13.7" customHeight="1" x14ac:dyDescent="0.2">
      <c r="B137" s="195"/>
      <c r="C137" s="195"/>
      <c r="D137" s="195"/>
      <c r="E137" s="195"/>
      <c r="F137" s="195"/>
      <c r="G137" s="195"/>
      <c r="H137" s="195"/>
      <c r="I137" s="195"/>
      <c r="J137" s="195"/>
    </row>
    <row r="138" spans="2:10" s="21" customFormat="1" ht="13.7" customHeight="1" x14ac:dyDescent="0.2">
      <c r="B138" s="195"/>
      <c r="C138" s="195"/>
      <c r="D138" s="195"/>
      <c r="E138" s="195"/>
      <c r="F138" s="195"/>
      <c r="G138" s="195"/>
      <c r="H138" s="195"/>
      <c r="I138" s="195"/>
      <c r="J138" s="195"/>
    </row>
    <row r="139" spans="2:10" s="21" customFormat="1" ht="13.7" customHeight="1" x14ac:dyDescent="0.2">
      <c r="B139" s="195"/>
      <c r="C139" s="195"/>
      <c r="D139" s="195"/>
      <c r="E139" s="195"/>
      <c r="F139" s="195"/>
      <c r="G139" s="195"/>
      <c r="H139" s="195"/>
      <c r="I139" s="195"/>
      <c r="J139" s="195"/>
    </row>
    <row r="140" spans="2:10" s="21" customFormat="1" ht="13.7" customHeight="1" x14ac:dyDescent="0.2">
      <c r="B140" s="195"/>
      <c r="C140" s="195"/>
      <c r="D140" s="195"/>
      <c r="E140" s="195"/>
      <c r="F140" s="195"/>
      <c r="G140" s="195"/>
      <c r="H140" s="195"/>
      <c r="I140" s="195"/>
      <c r="J140" s="195"/>
    </row>
    <row r="141" spans="2:10" s="21" customFormat="1" ht="13.7" customHeight="1" x14ac:dyDescent="0.2">
      <c r="B141" s="195"/>
      <c r="C141" s="195"/>
      <c r="D141" s="195"/>
      <c r="E141" s="195"/>
      <c r="F141" s="195"/>
      <c r="G141" s="195"/>
      <c r="H141" s="195"/>
      <c r="I141" s="195"/>
      <c r="J141" s="195"/>
    </row>
    <row r="142" spans="2:10" s="21" customFormat="1" ht="13.7" customHeight="1" x14ac:dyDescent="0.2">
      <c r="B142" s="195"/>
      <c r="C142" s="195"/>
      <c r="D142" s="195"/>
      <c r="E142" s="195"/>
      <c r="F142" s="195"/>
      <c r="G142" s="195"/>
      <c r="H142" s="195"/>
      <c r="I142" s="195"/>
      <c r="J142" s="195"/>
    </row>
    <row r="143" spans="2:10" s="21" customFormat="1" ht="13.7" customHeight="1" x14ac:dyDescent="0.2">
      <c r="B143" s="195"/>
      <c r="C143" s="195"/>
      <c r="D143" s="195"/>
      <c r="E143" s="195"/>
      <c r="F143" s="195"/>
      <c r="G143" s="195"/>
      <c r="H143" s="195"/>
      <c r="I143" s="195"/>
      <c r="J143" s="195"/>
    </row>
    <row r="144" spans="2:10" s="21" customFormat="1" ht="13.7" customHeight="1" x14ac:dyDescent="0.2">
      <c r="B144" s="195"/>
      <c r="C144" s="195"/>
      <c r="D144" s="195"/>
      <c r="E144" s="195"/>
      <c r="F144" s="195"/>
      <c r="G144" s="195"/>
      <c r="H144" s="195"/>
      <c r="I144" s="195"/>
      <c r="J144" s="195"/>
    </row>
    <row r="145" spans="2:10" s="21" customFormat="1" ht="13.7" customHeight="1" x14ac:dyDescent="0.2">
      <c r="B145" s="195"/>
      <c r="C145" s="195"/>
      <c r="D145" s="195"/>
      <c r="E145" s="195"/>
      <c r="F145" s="195"/>
      <c r="G145" s="195"/>
      <c r="H145" s="195"/>
      <c r="I145" s="195"/>
      <c r="J145" s="195"/>
    </row>
    <row r="146" spans="2:10" s="21" customFormat="1" ht="13.7" customHeight="1" x14ac:dyDescent="0.2">
      <c r="B146" s="195"/>
      <c r="C146" s="195"/>
      <c r="D146" s="195"/>
      <c r="E146" s="195"/>
      <c r="F146" s="195"/>
      <c r="G146" s="195"/>
      <c r="H146" s="195"/>
      <c r="I146" s="195"/>
      <c r="J146" s="195"/>
    </row>
    <row r="147" spans="2:10" s="21" customFormat="1" ht="13.7" customHeight="1" x14ac:dyDescent="0.2">
      <c r="B147" s="195"/>
      <c r="C147" s="195"/>
      <c r="D147" s="195"/>
      <c r="E147" s="195"/>
      <c r="F147" s="195"/>
      <c r="G147" s="195"/>
      <c r="H147" s="195"/>
      <c r="I147" s="195"/>
      <c r="J147" s="195"/>
    </row>
    <row r="148" spans="2:10" s="21" customFormat="1" ht="13.7" customHeight="1" x14ac:dyDescent="0.2">
      <c r="B148" s="195"/>
      <c r="C148" s="195"/>
      <c r="D148" s="195"/>
      <c r="E148" s="195"/>
      <c r="F148" s="195"/>
      <c r="G148" s="195"/>
      <c r="H148" s="195"/>
      <c r="I148" s="195"/>
      <c r="J148" s="195"/>
    </row>
    <row r="149" spans="2:10" s="21" customFormat="1" ht="13.7" customHeight="1" x14ac:dyDescent="0.2">
      <c r="B149" s="195"/>
      <c r="C149" s="195"/>
      <c r="D149" s="195"/>
      <c r="E149" s="195"/>
      <c r="F149" s="195"/>
      <c r="G149" s="195"/>
      <c r="H149" s="195"/>
      <c r="I149" s="195"/>
      <c r="J149" s="195"/>
    </row>
    <row r="150" spans="2:10" s="21" customFormat="1" ht="13.7" customHeight="1" x14ac:dyDescent="0.2">
      <c r="B150" s="195"/>
      <c r="C150" s="195"/>
      <c r="D150" s="195"/>
      <c r="E150" s="195"/>
      <c r="F150" s="195"/>
      <c r="G150" s="195"/>
      <c r="H150" s="195"/>
      <c r="I150" s="195"/>
      <c r="J150" s="195"/>
    </row>
    <row r="151" spans="2:10" s="21" customFormat="1" ht="13.7" customHeight="1" x14ac:dyDescent="0.2">
      <c r="B151" s="195"/>
      <c r="C151" s="195"/>
      <c r="D151" s="195"/>
      <c r="E151" s="195"/>
      <c r="F151" s="195"/>
      <c r="G151" s="195"/>
      <c r="H151" s="195"/>
      <c r="I151" s="195"/>
      <c r="J151" s="195"/>
    </row>
    <row r="152" spans="2:10" s="21" customFormat="1" ht="13.7" customHeight="1" x14ac:dyDescent="0.2">
      <c r="B152" s="195"/>
      <c r="C152" s="195"/>
      <c r="D152" s="195"/>
      <c r="E152" s="195"/>
      <c r="F152" s="195"/>
      <c r="G152" s="195"/>
      <c r="H152" s="195"/>
      <c r="I152" s="195"/>
      <c r="J152" s="195"/>
    </row>
    <row r="153" spans="2:10" s="21" customFormat="1" ht="13.7" customHeight="1" x14ac:dyDescent="0.2">
      <c r="B153" s="195"/>
      <c r="C153" s="195"/>
      <c r="D153" s="195"/>
      <c r="E153" s="195"/>
      <c r="F153" s="195"/>
      <c r="G153" s="195"/>
      <c r="H153" s="195"/>
      <c r="I153" s="195"/>
      <c r="J153" s="195"/>
    </row>
    <row r="154" spans="2:10" s="21" customFormat="1" ht="13.7" customHeight="1" x14ac:dyDescent="0.2">
      <c r="B154" s="195"/>
      <c r="C154" s="195"/>
      <c r="D154" s="195"/>
      <c r="E154" s="195"/>
      <c r="F154" s="195"/>
      <c r="G154" s="195"/>
      <c r="H154" s="195"/>
      <c r="I154" s="195"/>
      <c r="J154" s="195"/>
    </row>
    <row r="155" spans="2:10" s="21" customFormat="1" ht="13.7" customHeight="1" x14ac:dyDescent="0.2">
      <c r="B155" s="195"/>
      <c r="C155" s="195"/>
      <c r="D155" s="195"/>
      <c r="E155" s="195"/>
      <c r="F155" s="195"/>
      <c r="G155" s="195"/>
      <c r="H155" s="195"/>
      <c r="I155" s="195"/>
      <c r="J155" s="195"/>
    </row>
    <row r="156" spans="2:10" s="21" customFormat="1" ht="13.7" customHeight="1" x14ac:dyDescent="0.2">
      <c r="B156" s="195"/>
      <c r="C156" s="195"/>
      <c r="D156" s="195"/>
      <c r="E156" s="195"/>
      <c r="F156" s="195"/>
      <c r="G156" s="195"/>
      <c r="H156" s="195"/>
      <c r="I156" s="195"/>
      <c r="J156" s="195"/>
    </row>
    <row r="157" spans="2:10" s="21" customFormat="1" ht="13.7" customHeight="1" x14ac:dyDescent="0.2">
      <c r="B157" s="195"/>
      <c r="C157" s="195"/>
      <c r="D157" s="195"/>
      <c r="E157" s="195"/>
      <c r="F157" s="195"/>
      <c r="G157" s="195"/>
      <c r="H157" s="195"/>
      <c r="I157" s="195"/>
      <c r="J157" s="195"/>
    </row>
    <row r="158" spans="2:10" s="21" customFormat="1" ht="13.7" customHeight="1" x14ac:dyDescent="0.2">
      <c r="B158" s="195"/>
      <c r="C158" s="195"/>
      <c r="D158" s="195"/>
      <c r="E158" s="195"/>
      <c r="F158" s="195"/>
      <c r="G158" s="195"/>
      <c r="H158" s="195"/>
      <c r="I158" s="195"/>
      <c r="J158" s="195"/>
    </row>
    <row r="159" spans="2:10" s="21" customFormat="1" ht="13.7" customHeight="1" x14ac:dyDescent="0.2">
      <c r="B159" s="195"/>
      <c r="C159" s="195"/>
      <c r="D159" s="195"/>
      <c r="E159" s="195"/>
      <c r="F159" s="195"/>
      <c r="G159" s="195"/>
      <c r="H159" s="195"/>
      <c r="I159" s="195"/>
      <c r="J159" s="195"/>
    </row>
    <row r="160" spans="2:10" s="21" customFormat="1" ht="13.7" customHeight="1" x14ac:dyDescent="0.2">
      <c r="B160" s="195"/>
      <c r="C160" s="195"/>
      <c r="D160" s="195"/>
      <c r="E160" s="195"/>
      <c r="F160" s="195"/>
      <c r="G160" s="195"/>
      <c r="H160" s="195"/>
      <c r="I160" s="195"/>
      <c r="J160" s="195"/>
    </row>
    <row r="161" spans="2:10" s="21" customFormat="1" ht="13.7" customHeight="1" x14ac:dyDescent="0.2">
      <c r="B161" s="195"/>
      <c r="C161" s="195"/>
      <c r="D161" s="195"/>
      <c r="E161" s="195"/>
      <c r="F161" s="195"/>
      <c r="G161" s="195"/>
      <c r="H161" s="195"/>
      <c r="I161" s="195"/>
      <c r="J161" s="195"/>
    </row>
    <row r="162" spans="2:10" s="21" customFormat="1" ht="13.7" customHeight="1" x14ac:dyDescent="0.2">
      <c r="B162" s="195"/>
      <c r="C162" s="195"/>
      <c r="D162" s="195"/>
      <c r="E162" s="195"/>
      <c r="F162" s="195"/>
      <c r="G162" s="195"/>
      <c r="H162" s="195"/>
      <c r="I162" s="195"/>
      <c r="J162" s="195"/>
    </row>
    <row r="163" spans="2:10" s="21" customFormat="1" ht="13.7" customHeight="1" x14ac:dyDescent="0.2">
      <c r="B163" s="195"/>
      <c r="C163" s="195"/>
      <c r="D163" s="195"/>
      <c r="E163" s="195"/>
      <c r="F163" s="195"/>
      <c r="G163" s="195"/>
      <c r="H163" s="195"/>
      <c r="I163" s="195"/>
      <c r="J163" s="195"/>
    </row>
    <row r="164" spans="2:10" s="21" customFormat="1" ht="13.7" customHeight="1" x14ac:dyDescent="0.2">
      <c r="B164" s="195"/>
      <c r="C164" s="195"/>
      <c r="D164" s="195"/>
      <c r="E164" s="195"/>
      <c r="F164" s="195"/>
      <c r="G164" s="195"/>
      <c r="H164" s="195"/>
      <c r="I164" s="195"/>
      <c r="J164" s="195"/>
    </row>
    <row r="165" spans="2:10" s="21" customFormat="1" ht="13.7" customHeight="1" x14ac:dyDescent="0.2">
      <c r="B165" s="195"/>
      <c r="C165" s="195"/>
      <c r="D165" s="195"/>
      <c r="E165" s="195"/>
      <c r="F165" s="195"/>
      <c r="G165" s="195"/>
      <c r="H165" s="195"/>
      <c r="I165" s="195"/>
      <c r="J165" s="195"/>
    </row>
    <row r="166" spans="2:10" s="21" customFormat="1" ht="13.7" customHeight="1" x14ac:dyDescent="0.2">
      <c r="B166" s="195"/>
      <c r="C166" s="195"/>
      <c r="D166" s="195"/>
      <c r="E166" s="195"/>
      <c r="F166" s="195"/>
      <c r="G166" s="195"/>
      <c r="H166" s="195"/>
      <c r="I166" s="195"/>
      <c r="J166" s="195"/>
    </row>
    <row r="167" spans="2:10" s="21" customFormat="1" ht="13.7" customHeight="1" x14ac:dyDescent="0.2">
      <c r="B167" s="195"/>
      <c r="C167" s="195"/>
      <c r="D167" s="195"/>
      <c r="E167" s="195"/>
      <c r="F167" s="195"/>
      <c r="G167" s="195"/>
      <c r="H167" s="195"/>
      <c r="I167" s="195"/>
      <c r="J167" s="195"/>
    </row>
    <row r="168" spans="2:10" s="21" customFormat="1" ht="13.7" customHeight="1" x14ac:dyDescent="0.2">
      <c r="B168" s="195"/>
      <c r="C168" s="195"/>
      <c r="D168" s="195"/>
      <c r="E168" s="195"/>
      <c r="F168" s="195"/>
      <c r="G168" s="195"/>
      <c r="H168" s="195"/>
      <c r="I168" s="195"/>
      <c r="J168" s="195"/>
    </row>
    <row r="169" spans="2:10" s="21" customFormat="1" ht="13.7" customHeight="1" x14ac:dyDescent="0.2">
      <c r="B169" s="195"/>
      <c r="C169" s="195"/>
      <c r="D169" s="195"/>
      <c r="E169" s="195"/>
      <c r="F169" s="195"/>
      <c r="G169" s="195"/>
      <c r="H169" s="195"/>
      <c r="I169" s="195"/>
      <c r="J169" s="195"/>
    </row>
    <row r="170" spans="2:10" s="21" customFormat="1" ht="13.7" customHeight="1" x14ac:dyDescent="0.2">
      <c r="B170" s="195"/>
      <c r="C170" s="195"/>
      <c r="D170" s="195"/>
      <c r="E170" s="195"/>
      <c r="F170" s="195"/>
      <c r="G170" s="195"/>
      <c r="H170" s="195"/>
      <c r="I170" s="195"/>
      <c r="J170" s="195"/>
    </row>
    <row r="171" spans="2:10" s="21" customFormat="1" ht="13.7" customHeight="1" x14ac:dyDescent="0.2">
      <c r="B171" s="195"/>
      <c r="C171" s="195"/>
      <c r="D171" s="195"/>
      <c r="E171" s="195"/>
      <c r="F171" s="195"/>
      <c r="G171" s="195"/>
      <c r="H171" s="195"/>
      <c r="I171" s="195"/>
      <c r="J171" s="195"/>
    </row>
    <row r="172" spans="2:10" s="21" customFormat="1" ht="13.7" customHeight="1" x14ac:dyDescent="0.2">
      <c r="B172" s="195"/>
      <c r="C172" s="195"/>
      <c r="D172" s="195"/>
      <c r="E172" s="195"/>
      <c r="F172" s="195"/>
      <c r="G172" s="195"/>
      <c r="H172" s="195"/>
      <c r="I172" s="195"/>
      <c r="J172" s="195"/>
    </row>
    <row r="173" spans="2:10" s="21" customFormat="1" ht="13.7" customHeight="1" x14ac:dyDescent="0.2">
      <c r="B173" s="195"/>
      <c r="C173" s="195"/>
      <c r="D173" s="195"/>
      <c r="E173" s="195"/>
      <c r="F173" s="195"/>
      <c r="G173" s="195"/>
      <c r="H173" s="195"/>
      <c r="I173" s="195"/>
      <c r="J173" s="195"/>
    </row>
    <row r="174" spans="2:10" s="21" customFormat="1" ht="13.7" customHeight="1" x14ac:dyDescent="0.2">
      <c r="B174" s="195"/>
      <c r="C174" s="195"/>
      <c r="D174" s="195"/>
      <c r="E174" s="195"/>
      <c r="F174" s="195"/>
      <c r="G174" s="195"/>
      <c r="H174" s="195"/>
      <c r="I174" s="195"/>
      <c r="J174" s="195"/>
    </row>
    <row r="175" spans="2:10" s="21" customFormat="1" ht="13.7" customHeight="1" x14ac:dyDescent="0.2">
      <c r="B175" s="195"/>
      <c r="C175" s="195"/>
      <c r="D175" s="195"/>
      <c r="E175" s="195"/>
      <c r="F175" s="195"/>
      <c r="G175" s="195"/>
      <c r="H175" s="195"/>
      <c r="I175" s="195"/>
      <c r="J175" s="195"/>
    </row>
    <row r="176" spans="2:10" s="21" customFormat="1" ht="13.7" customHeight="1" x14ac:dyDescent="0.2">
      <c r="B176" s="195"/>
      <c r="C176" s="195"/>
      <c r="D176" s="195"/>
      <c r="E176" s="195"/>
      <c r="F176" s="195"/>
      <c r="G176" s="195"/>
      <c r="H176" s="195"/>
      <c r="I176" s="195"/>
      <c r="J176" s="195"/>
    </row>
    <row r="177" spans="2:10" s="21" customFormat="1" ht="13.7" customHeight="1" x14ac:dyDescent="0.2">
      <c r="B177" s="195"/>
      <c r="C177" s="195"/>
      <c r="D177" s="195"/>
      <c r="E177" s="195"/>
      <c r="F177" s="195"/>
      <c r="G177" s="195"/>
      <c r="H177" s="195"/>
      <c r="I177" s="195"/>
      <c r="J177" s="195"/>
    </row>
    <row r="178" spans="2:10" s="21" customFormat="1" ht="13.7" customHeight="1" x14ac:dyDescent="0.2">
      <c r="B178" s="195"/>
      <c r="C178" s="195"/>
      <c r="D178" s="195"/>
      <c r="E178" s="195"/>
      <c r="F178" s="195"/>
      <c r="G178" s="195"/>
      <c r="H178" s="195"/>
      <c r="I178" s="195"/>
      <c r="J178" s="195"/>
    </row>
    <row r="179" spans="2:10" s="21" customFormat="1" ht="13.7" customHeight="1" x14ac:dyDescent="0.2">
      <c r="B179" s="195"/>
      <c r="C179" s="195"/>
      <c r="D179" s="195"/>
      <c r="E179" s="195"/>
      <c r="F179" s="195"/>
      <c r="G179" s="195"/>
      <c r="H179" s="195"/>
      <c r="I179" s="195"/>
      <c r="J179" s="195"/>
    </row>
    <row r="180" spans="2:10" s="21" customFormat="1" ht="13.7" customHeight="1" x14ac:dyDescent="0.2">
      <c r="B180" s="195"/>
      <c r="C180" s="195"/>
      <c r="D180" s="195"/>
      <c r="E180" s="195"/>
      <c r="F180" s="195"/>
      <c r="G180" s="195"/>
      <c r="H180" s="195"/>
      <c r="I180" s="195"/>
      <c r="J180" s="195"/>
    </row>
    <row r="181" spans="2:10" s="21" customFormat="1" ht="13.7" customHeight="1" x14ac:dyDescent="0.2">
      <c r="B181" s="195"/>
      <c r="C181" s="195"/>
      <c r="D181" s="195"/>
      <c r="E181" s="195"/>
      <c r="F181" s="195"/>
      <c r="G181" s="195"/>
      <c r="H181" s="195"/>
      <c r="I181" s="195"/>
      <c r="J181" s="195"/>
    </row>
    <row r="182" spans="2:10" s="21" customFormat="1" ht="13.7" customHeight="1" x14ac:dyDescent="0.2">
      <c r="B182" s="195"/>
      <c r="C182" s="195"/>
      <c r="D182" s="195"/>
      <c r="E182" s="195"/>
      <c r="F182" s="195"/>
      <c r="G182" s="195"/>
      <c r="H182" s="195"/>
      <c r="I182" s="195"/>
      <c r="J182" s="195"/>
    </row>
    <row r="183" spans="2:10" s="21" customFormat="1" ht="13.7" customHeight="1" x14ac:dyDescent="0.2">
      <c r="B183" s="195"/>
      <c r="C183" s="195"/>
      <c r="D183" s="195"/>
      <c r="E183" s="195"/>
      <c r="F183" s="195"/>
      <c r="G183" s="195"/>
      <c r="H183" s="195"/>
      <c r="I183" s="195"/>
      <c r="J183" s="195"/>
    </row>
    <row r="184" spans="2:10" s="21" customFormat="1" ht="13.7" customHeight="1" x14ac:dyDescent="0.2">
      <c r="B184" s="195"/>
      <c r="C184" s="195"/>
      <c r="D184" s="195"/>
      <c r="E184" s="195"/>
      <c r="F184" s="195"/>
      <c r="G184" s="195"/>
      <c r="H184" s="195"/>
      <c r="I184" s="195"/>
      <c r="J184" s="195"/>
    </row>
    <row r="185" spans="2:10" s="21" customFormat="1" ht="13.7" customHeight="1" x14ac:dyDescent="0.2">
      <c r="B185" s="195"/>
      <c r="C185" s="195"/>
      <c r="D185" s="195"/>
      <c r="E185" s="195"/>
      <c r="F185" s="195"/>
      <c r="G185" s="195"/>
      <c r="H185" s="195"/>
      <c r="I185" s="195"/>
      <c r="J185" s="195"/>
    </row>
    <row r="186" spans="2:10" s="21" customFormat="1" ht="13.7" customHeight="1" x14ac:dyDescent="0.2">
      <c r="B186" s="195"/>
      <c r="C186" s="195"/>
      <c r="D186" s="195"/>
      <c r="E186" s="195"/>
      <c r="F186" s="195"/>
      <c r="G186" s="195"/>
      <c r="H186" s="195"/>
      <c r="I186" s="195"/>
      <c r="J186" s="195"/>
    </row>
    <row r="187" spans="2:10" s="21" customFormat="1" ht="13.7" customHeight="1" x14ac:dyDescent="0.2">
      <c r="B187" s="195"/>
      <c r="C187" s="195"/>
      <c r="D187" s="195"/>
      <c r="E187" s="195"/>
      <c r="F187" s="195"/>
      <c r="G187" s="195"/>
      <c r="H187" s="195"/>
      <c r="I187" s="195"/>
      <c r="J187" s="195"/>
    </row>
    <row r="188" spans="2:10" s="21" customFormat="1" ht="13.7" customHeight="1" x14ac:dyDescent="0.2">
      <c r="B188" s="195"/>
      <c r="C188" s="195"/>
      <c r="D188" s="195"/>
      <c r="E188" s="195"/>
      <c r="F188" s="195"/>
      <c r="G188" s="195"/>
      <c r="H188" s="195"/>
      <c r="I188" s="195"/>
      <c r="J188" s="195"/>
    </row>
    <row r="189" spans="2:10" s="21" customFormat="1" ht="13.7" customHeight="1" x14ac:dyDescent="0.2">
      <c r="B189" s="195"/>
      <c r="C189" s="195"/>
      <c r="D189" s="195"/>
      <c r="E189" s="195"/>
      <c r="F189" s="195"/>
      <c r="G189" s="195"/>
      <c r="H189" s="195"/>
      <c r="I189" s="195"/>
      <c r="J189" s="195"/>
    </row>
    <row r="190" spans="2:10" s="21" customFormat="1" ht="13.7" customHeight="1" x14ac:dyDescent="0.2">
      <c r="B190" s="195"/>
      <c r="C190" s="195"/>
      <c r="D190" s="195"/>
      <c r="E190" s="195"/>
      <c r="F190" s="195"/>
      <c r="G190" s="195"/>
      <c r="H190" s="195"/>
      <c r="I190" s="195"/>
      <c r="J190" s="195"/>
    </row>
    <row r="191" spans="2:10" s="21" customFormat="1" ht="13.7" customHeight="1" x14ac:dyDescent="0.2">
      <c r="B191" s="195"/>
      <c r="C191" s="195"/>
      <c r="D191" s="195"/>
      <c r="E191" s="195"/>
      <c r="F191" s="195"/>
      <c r="G191" s="195"/>
      <c r="H191" s="195"/>
      <c r="I191" s="195"/>
      <c r="J191" s="195"/>
    </row>
    <row r="192" spans="2:10" s="21" customFormat="1" ht="13.7" customHeight="1" x14ac:dyDescent="0.2">
      <c r="B192" s="195"/>
      <c r="C192" s="195"/>
      <c r="D192" s="195"/>
      <c r="E192" s="195"/>
      <c r="F192" s="195"/>
      <c r="G192" s="195"/>
      <c r="H192" s="195"/>
      <c r="I192" s="195"/>
      <c r="J192" s="195"/>
    </row>
    <row r="193" spans="2:10" s="21" customFormat="1" ht="13.7" customHeight="1" x14ac:dyDescent="0.2">
      <c r="B193" s="195"/>
      <c r="C193" s="195"/>
      <c r="D193" s="195"/>
      <c r="E193" s="195"/>
      <c r="F193" s="195"/>
      <c r="G193" s="195"/>
      <c r="H193" s="195"/>
      <c r="I193" s="195"/>
      <c r="J193" s="195"/>
    </row>
    <row r="194" spans="2:10" s="21" customFormat="1" ht="13.7" customHeight="1" x14ac:dyDescent="0.2">
      <c r="B194" s="195"/>
      <c r="C194" s="195"/>
      <c r="D194" s="195"/>
      <c r="E194" s="195"/>
      <c r="F194" s="195"/>
      <c r="G194" s="195"/>
      <c r="H194" s="195"/>
      <c r="I194" s="195"/>
      <c r="J194" s="195"/>
    </row>
    <row r="195" spans="2:10" s="21" customFormat="1" ht="13.7" customHeight="1" x14ac:dyDescent="0.2">
      <c r="B195" s="195"/>
      <c r="C195" s="195"/>
      <c r="D195" s="195"/>
      <c r="E195" s="195"/>
      <c r="F195" s="195"/>
      <c r="G195" s="195"/>
      <c r="H195" s="195"/>
      <c r="I195" s="195"/>
      <c r="J195" s="195"/>
    </row>
    <row r="196" spans="2:10" s="21" customFormat="1" ht="13.7" customHeight="1" x14ac:dyDescent="0.2">
      <c r="B196" s="195"/>
      <c r="C196" s="195"/>
      <c r="D196" s="195"/>
      <c r="E196" s="195"/>
      <c r="F196" s="195"/>
      <c r="G196" s="195"/>
      <c r="H196" s="195"/>
      <c r="I196" s="195"/>
      <c r="J196" s="195"/>
    </row>
    <row r="197" spans="2:10" s="21" customFormat="1" ht="13.7" customHeight="1" x14ac:dyDescent="0.2">
      <c r="B197" s="195"/>
      <c r="C197" s="195"/>
      <c r="D197" s="195"/>
      <c r="E197" s="195"/>
      <c r="F197" s="195"/>
      <c r="G197" s="195"/>
      <c r="H197" s="195"/>
      <c r="I197" s="195"/>
      <c r="J197" s="195"/>
    </row>
    <row r="198" spans="2:10" s="21" customFormat="1" ht="13.7" customHeight="1" x14ac:dyDescent="0.2">
      <c r="B198" s="195"/>
      <c r="C198" s="195"/>
      <c r="D198" s="195"/>
      <c r="E198" s="195"/>
      <c r="F198" s="195"/>
      <c r="G198" s="195"/>
      <c r="H198" s="195"/>
      <c r="I198" s="195"/>
      <c r="J198" s="195"/>
    </row>
    <row r="199" spans="2:10" s="21" customFormat="1" ht="13.7" customHeight="1" x14ac:dyDescent="0.2">
      <c r="B199" s="195"/>
      <c r="C199" s="195"/>
      <c r="D199" s="195"/>
      <c r="E199" s="195"/>
      <c r="F199" s="195"/>
      <c r="G199" s="195"/>
      <c r="H199" s="195"/>
      <c r="I199" s="195"/>
      <c r="J199" s="195"/>
    </row>
    <row r="200" spans="2:10" s="21" customFormat="1" ht="13.7" customHeight="1" x14ac:dyDescent="0.2">
      <c r="B200" s="195"/>
      <c r="C200" s="195"/>
      <c r="D200" s="195"/>
      <c r="E200" s="195"/>
      <c r="F200" s="195"/>
      <c r="G200" s="195"/>
      <c r="H200" s="195"/>
      <c r="I200" s="195"/>
      <c r="J200" s="195"/>
    </row>
    <row r="201" spans="2:10" s="21" customFormat="1" ht="13.7" customHeight="1" x14ac:dyDescent="0.2">
      <c r="B201" s="195"/>
      <c r="C201" s="195"/>
      <c r="D201" s="195"/>
      <c r="E201" s="195"/>
      <c r="F201" s="195"/>
      <c r="G201" s="195"/>
      <c r="H201" s="195"/>
      <c r="I201" s="195"/>
      <c r="J201" s="195"/>
    </row>
    <row r="202" spans="2:10" s="21" customFormat="1" ht="13.7" customHeight="1" x14ac:dyDescent="0.2">
      <c r="B202" s="195"/>
      <c r="C202" s="195"/>
      <c r="D202" s="195"/>
      <c r="E202" s="195"/>
      <c r="F202" s="195"/>
      <c r="G202" s="195"/>
      <c r="H202" s="195"/>
      <c r="I202" s="195"/>
      <c r="J202" s="195"/>
    </row>
    <row r="203" spans="2:10" s="21" customFormat="1" ht="13.7" customHeight="1" x14ac:dyDescent="0.2">
      <c r="B203" s="195"/>
      <c r="C203" s="195"/>
      <c r="D203" s="195"/>
      <c r="E203" s="195"/>
      <c r="F203" s="195"/>
      <c r="G203" s="195"/>
      <c r="H203" s="195"/>
      <c r="I203" s="195"/>
      <c r="J203" s="195"/>
    </row>
    <row r="204" spans="2:10" s="21" customFormat="1" ht="13.7" customHeight="1" x14ac:dyDescent="0.2">
      <c r="B204" s="195"/>
      <c r="C204" s="195"/>
      <c r="D204" s="195"/>
      <c r="E204" s="195"/>
      <c r="F204" s="195"/>
      <c r="G204" s="195"/>
      <c r="H204" s="195"/>
      <c r="I204" s="195"/>
      <c r="J204" s="195"/>
    </row>
    <row r="205" spans="2:10" s="21" customFormat="1" ht="13.7" customHeight="1" x14ac:dyDescent="0.2">
      <c r="B205" s="195"/>
      <c r="C205" s="195"/>
      <c r="D205" s="195"/>
      <c r="E205" s="195"/>
      <c r="F205" s="195"/>
      <c r="G205" s="195"/>
      <c r="H205" s="195"/>
      <c r="I205" s="195"/>
      <c r="J205" s="195"/>
    </row>
    <row r="206" spans="2:10" s="21" customFormat="1" ht="13.7" customHeight="1" x14ac:dyDescent="0.2">
      <c r="B206" s="195"/>
      <c r="C206" s="195"/>
      <c r="D206" s="195"/>
      <c r="E206" s="195"/>
      <c r="F206" s="195"/>
      <c r="G206" s="195"/>
      <c r="H206" s="195"/>
      <c r="I206" s="195"/>
      <c r="J206" s="195"/>
    </row>
    <row r="207" spans="2:10" s="21" customFormat="1" ht="13.7" customHeight="1" x14ac:dyDescent="0.2">
      <c r="B207" s="195"/>
      <c r="C207" s="195"/>
      <c r="D207" s="195"/>
      <c r="E207" s="195"/>
      <c r="F207" s="195"/>
      <c r="G207" s="195"/>
      <c r="H207" s="195"/>
      <c r="I207" s="195"/>
      <c r="J207" s="195"/>
    </row>
    <row r="208" spans="2:10" s="21" customFormat="1" ht="13.7" customHeight="1" x14ac:dyDescent="0.2">
      <c r="B208" s="195"/>
      <c r="C208" s="195"/>
      <c r="D208" s="195"/>
      <c r="E208" s="195"/>
      <c r="F208" s="195"/>
      <c r="G208" s="195"/>
      <c r="H208" s="195"/>
      <c r="I208" s="195"/>
      <c r="J208" s="195"/>
    </row>
    <row r="209" spans="2:10" s="21" customFormat="1" ht="13.7" customHeight="1" x14ac:dyDescent="0.2">
      <c r="B209" s="195"/>
      <c r="C209" s="195"/>
      <c r="D209" s="195"/>
      <c r="E209" s="195"/>
      <c r="F209" s="195"/>
      <c r="G209" s="195"/>
      <c r="H209" s="195"/>
      <c r="I209" s="195"/>
      <c r="J209" s="195"/>
    </row>
    <row r="210" spans="2:10" s="21" customFormat="1" ht="13.7" customHeight="1" x14ac:dyDescent="0.2">
      <c r="B210" s="195"/>
      <c r="C210" s="195"/>
      <c r="D210" s="195"/>
      <c r="E210" s="195"/>
      <c r="F210" s="195"/>
      <c r="G210" s="195"/>
      <c r="H210" s="195"/>
      <c r="I210" s="195"/>
      <c r="J210" s="195"/>
    </row>
    <row r="211" spans="2:10" s="21" customFormat="1" ht="13.7" customHeight="1" x14ac:dyDescent="0.2">
      <c r="B211" s="195"/>
      <c r="C211" s="195"/>
      <c r="D211" s="195"/>
      <c r="E211" s="195"/>
      <c r="F211" s="195"/>
      <c r="G211" s="195"/>
      <c r="H211" s="195"/>
      <c r="I211" s="195"/>
      <c r="J211" s="195"/>
    </row>
    <row r="212" spans="2:10" s="21" customFormat="1" ht="13.7" customHeight="1" x14ac:dyDescent="0.2">
      <c r="B212" s="195"/>
      <c r="C212" s="195"/>
      <c r="D212" s="195"/>
      <c r="E212" s="195"/>
      <c r="F212" s="195"/>
      <c r="G212" s="195"/>
      <c r="H212" s="195"/>
      <c r="I212" s="195"/>
      <c r="J212" s="195"/>
    </row>
    <row r="213" spans="2:10" s="21" customFormat="1" ht="13.7" customHeight="1" x14ac:dyDescent="0.2">
      <c r="B213" s="195"/>
      <c r="C213" s="195"/>
      <c r="D213" s="195"/>
      <c r="E213" s="195"/>
      <c r="F213" s="195"/>
      <c r="G213" s="195"/>
      <c r="H213" s="195"/>
      <c r="I213" s="195"/>
      <c r="J213" s="195"/>
    </row>
    <row r="214" spans="2:10" s="21" customFormat="1" ht="13.7" customHeight="1" x14ac:dyDescent="0.2">
      <c r="B214" s="195"/>
      <c r="C214" s="195"/>
      <c r="D214" s="195"/>
      <c r="E214" s="195"/>
      <c r="F214" s="195"/>
      <c r="G214" s="195"/>
      <c r="H214" s="195"/>
      <c r="I214" s="195"/>
      <c r="J214" s="195"/>
    </row>
    <row r="215" spans="2:10" s="21" customFormat="1" ht="13.7" customHeight="1" x14ac:dyDescent="0.2">
      <c r="B215" s="195"/>
      <c r="C215" s="195"/>
      <c r="D215" s="195"/>
      <c r="E215" s="195"/>
      <c r="F215" s="195"/>
      <c r="G215" s="195"/>
      <c r="H215" s="195"/>
      <c r="I215" s="195"/>
      <c r="J215" s="195"/>
    </row>
    <row r="216" spans="2:10" s="21" customFormat="1" ht="13.7" customHeight="1" x14ac:dyDescent="0.2">
      <c r="B216" s="195"/>
      <c r="C216" s="195"/>
      <c r="D216" s="195"/>
      <c r="E216" s="195"/>
      <c r="F216" s="195"/>
      <c r="G216" s="195"/>
      <c r="H216" s="195"/>
      <c r="I216" s="195"/>
      <c r="J216" s="195"/>
    </row>
    <row r="217" spans="2:10" s="21" customFormat="1" ht="13.7" customHeight="1" x14ac:dyDescent="0.2">
      <c r="B217" s="195"/>
      <c r="C217" s="195"/>
      <c r="D217" s="195"/>
      <c r="E217" s="195"/>
      <c r="F217" s="195"/>
      <c r="G217" s="195"/>
      <c r="H217" s="195"/>
      <c r="I217" s="195"/>
      <c r="J217" s="195"/>
    </row>
    <row r="218" spans="2:10" s="21" customFormat="1" ht="13.7" customHeight="1" x14ac:dyDescent="0.2">
      <c r="B218" s="195"/>
      <c r="C218" s="195"/>
      <c r="D218" s="195"/>
      <c r="E218" s="195"/>
      <c r="F218" s="195"/>
      <c r="G218" s="195"/>
      <c r="H218" s="195"/>
      <c r="I218" s="195"/>
      <c r="J218" s="195"/>
    </row>
    <row r="219" spans="2:10" s="21" customFormat="1" ht="13.7" customHeight="1" x14ac:dyDescent="0.2">
      <c r="B219" s="195"/>
      <c r="C219" s="195"/>
      <c r="D219" s="195"/>
      <c r="E219" s="195"/>
      <c r="F219" s="195"/>
      <c r="G219" s="195"/>
      <c r="H219" s="195"/>
      <c r="I219" s="195"/>
      <c r="J219" s="195"/>
    </row>
    <row r="220" spans="2:10" s="21" customFormat="1" ht="13.7" customHeight="1" x14ac:dyDescent="0.2">
      <c r="B220" s="195"/>
      <c r="C220" s="195"/>
      <c r="D220" s="195"/>
      <c r="E220" s="195"/>
      <c r="F220" s="195"/>
      <c r="G220" s="195"/>
      <c r="H220" s="195"/>
      <c r="I220" s="195"/>
      <c r="J220" s="195"/>
    </row>
    <row r="221" spans="2:10" s="21" customFormat="1" ht="13.7" customHeight="1" x14ac:dyDescent="0.2">
      <c r="B221" s="195"/>
      <c r="C221" s="195"/>
      <c r="D221" s="195"/>
      <c r="E221" s="195"/>
      <c r="F221" s="195"/>
      <c r="G221" s="195"/>
      <c r="H221" s="195"/>
      <c r="I221" s="195"/>
      <c r="J221" s="195"/>
    </row>
    <row r="222" spans="2:10" s="21" customFormat="1" ht="13.7" customHeight="1" x14ac:dyDescent="0.2">
      <c r="B222" s="195"/>
      <c r="C222" s="195"/>
      <c r="D222" s="195"/>
      <c r="E222" s="195"/>
      <c r="F222" s="195"/>
      <c r="G222" s="195"/>
      <c r="H222" s="195"/>
      <c r="I222" s="195"/>
      <c r="J222" s="195"/>
    </row>
    <row r="223" spans="2:10" s="21" customFormat="1" ht="13.7" customHeight="1" x14ac:dyDescent="0.2">
      <c r="B223" s="195"/>
      <c r="C223" s="195"/>
      <c r="D223" s="195"/>
      <c r="E223" s="195"/>
      <c r="F223" s="195"/>
      <c r="G223" s="195"/>
      <c r="H223" s="195"/>
      <c r="I223" s="195"/>
      <c r="J223" s="195"/>
    </row>
    <row r="224" spans="2:10" s="21" customFormat="1" ht="13.7" customHeight="1" x14ac:dyDescent="0.2">
      <c r="B224" s="195"/>
      <c r="C224" s="195"/>
      <c r="D224" s="195"/>
      <c r="E224" s="195"/>
      <c r="F224" s="195"/>
      <c r="G224" s="195"/>
      <c r="H224" s="195"/>
      <c r="I224" s="195"/>
      <c r="J224" s="195"/>
    </row>
    <row r="225" spans="2:10" s="21" customFormat="1" ht="13.7" customHeight="1" x14ac:dyDescent="0.2">
      <c r="B225" s="195"/>
      <c r="C225" s="195"/>
      <c r="D225" s="195"/>
      <c r="E225" s="195"/>
      <c r="F225" s="195"/>
      <c r="G225" s="195"/>
      <c r="H225" s="195"/>
      <c r="I225" s="195"/>
      <c r="J225" s="195"/>
    </row>
    <row r="226" spans="2:10" s="21" customFormat="1" ht="13.7" customHeight="1" x14ac:dyDescent="0.2">
      <c r="B226" s="195"/>
      <c r="C226" s="195"/>
      <c r="D226" s="195"/>
      <c r="E226" s="195"/>
      <c r="F226" s="195"/>
      <c r="G226" s="195"/>
      <c r="H226" s="195"/>
      <c r="I226" s="195"/>
      <c r="J226" s="195"/>
    </row>
    <row r="227" spans="2:10" s="21" customFormat="1" ht="13.7" customHeight="1" x14ac:dyDescent="0.2">
      <c r="B227" s="195"/>
      <c r="C227" s="195"/>
      <c r="D227" s="195"/>
      <c r="E227" s="195"/>
      <c r="F227" s="195"/>
      <c r="G227" s="195"/>
      <c r="H227" s="195"/>
      <c r="I227" s="195"/>
      <c r="J227" s="195"/>
    </row>
    <row r="228" spans="2:10" s="21" customFormat="1" ht="13.7" customHeight="1" x14ac:dyDescent="0.2">
      <c r="B228" s="195"/>
      <c r="C228" s="195"/>
      <c r="D228" s="195"/>
      <c r="E228" s="195"/>
      <c r="F228" s="195"/>
      <c r="G228" s="195"/>
      <c r="H228" s="195"/>
      <c r="I228" s="195"/>
      <c r="J228" s="195"/>
    </row>
    <row r="229" spans="2:10" s="21" customFormat="1" ht="13.7" customHeight="1" x14ac:dyDescent="0.2">
      <c r="B229" s="195"/>
      <c r="C229" s="195"/>
      <c r="D229" s="195"/>
      <c r="E229" s="195"/>
      <c r="F229" s="195"/>
      <c r="G229" s="195"/>
      <c r="H229" s="195"/>
      <c r="I229" s="195"/>
      <c r="J229" s="195"/>
    </row>
    <row r="230" spans="2:10" s="21" customFormat="1" ht="13.7" customHeight="1" x14ac:dyDescent="0.2">
      <c r="B230" s="195"/>
      <c r="C230" s="195"/>
      <c r="D230" s="195"/>
      <c r="E230" s="195"/>
      <c r="F230" s="195"/>
      <c r="G230" s="195"/>
      <c r="H230" s="195"/>
      <c r="I230" s="195"/>
      <c r="J230" s="195"/>
    </row>
    <row r="231" spans="2:10" s="21" customFormat="1" ht="13.7" customHeight="1" x14ac:dyDescent="0.2">
      <c r="B231" s="195"/>
      <c r="C231" s="195"/>
      <c r="D231" s="195"/>
      <c r="E231" s="195"/>
      <c r="F231" s="195"/>
      <c r="G231" s="195"/>
      <c r="H231" s="195"/>
      <c r="I231" s="195"/>
      <c r="J231" s="195"/>
    </row>
    <row r="232" spans="2:10" s="21" customFormat="1" ht="13.7" customHeight="1" x14ac:dyDescent="0.2">
      <c r="B232" s="195"/>
      <c r="C232" s="195"/>
      <c r="D232" s="195"/>
      <c r="E232" s="195"/>
      <c r="F232" s="195"/>
      <c r="G232" s="195"/>
      <c r="H232" s="195"/>
      <c r="I232" s="195"/>
      <c r="J232" s="195"/>
    </row>
    <row r="233" spans="2:10" s="21" customFormat="1" ht="13.7" customHeight="1" x14ac:dyDescent="0.2">
      <c r="B233" s="195"/>
      <c r="C233" s="195"/>
      <c r="D233" s="195"/>
      <c r="E233" s="195"/>
      <c r="F233" s="195"/>
      <c r="G233" s="195"/>
      <c r="H233" s="195"/>
      <c r="I233" s="195"/>
      <c r="J233" s="195"/>
    </row>
    <row r="234" spans="2:10" s="21" customFormat="1" ht="13.7" customHeight="1" x14ac:dyDescent="0.2">
      <c r="B234" s="195"/>
      <c r="C234" s="195"/>
      <c r="D234" s="195"/>
      <c r="E234" s="195"/>
      <c r="F234" s="195"/>
      <c r="G234" s="195"/>
      <c r="H234" s="195"/>
      <c r="I234" s="195"/>
      <c r="J234" s="195"/>
    </row>
    <row r="235" spans="2:10" s="21" customFormat="1" ht="13.7" customHeight="1" x14ac:dyDescent="0.2">
      <c r="B235" s="195"/>
      <c r="C235" s="195"/>
      <c r="D235" s="195"/>
      <c r="E235" s="195"/>
      <c r="F235" s="195"/>
      <c r="G235" s="195"/>
      <c r="H235" s="195"/>
      <c r="I235" s="195"/>
      <c r="J235" s="195"/>
    </row>
    <row r="236" spans="2:10" s="21" customFormat="1" ht="13.7" customHeight="1" x14ac:dyDescent="0.2">
      <c r="B236" s="195"/>
      <c r="C236" s="195"/>
      <c r="D236" s="195"/>
      <c r="E236" s="195"/>
      <c r="F236" s="195"/>
      <c r="G236" s="195"/>
      <c r="H236" s="195"/>
      <c r="I236" s="195"/>
      <c r="J236" s="195"/>
    </row>
    <row r="237" spans="2:10" s="21" customFormat="1" ht="13.7" customHeight="1" x14ac:dyDescent="0.2">
      <c r="B237" s="195"/>
      <c r="C237" s="195"/>
      <c r="D237" s="195"/>
      <c r="E237" s="195"/>
      <c r="F237" s="195"/>
      <c r="G237" s="195"/>
      <c r="H237" s="195"/>
      <c r="I237" s="195"/>
      <c r="J237" s="195"/>
    </row>
    <row r="238" spans="2:10" s="21" customFormat="1" ht="13.7" customHeight="1" x14ac:dyDescent="0.2">
      <c r="B238" s="195"/>
      <c r="C238" s="195"/>
      <c r="D238" s="195"/>
      <c r="E238" s="195"/>
      <c r="F238" s="195"/>
      <c r="G238" s="195"/>
      <c r="H238" s="195"/>
      <c r="I238" s="195"/>
      <c r="J238" s="195"/>
    </row>
    <row r="239" spans="2:10" s="21" customFormat="1" ht="13.7" customHeight="1" x14ac:dyDescent="0.2">
      <c r="B239" s="195"/>
      <c r="C239" s="195"/>
      <c r="D239" s="195"/>
      <c r="E239" s="195"/>
      <c r="F239" s="195"/>
      <c r="G239" s="195"/>
      <c r="H239" s="195"/>
      <c r="I239" s="195"/>
      <c r="J239" s="195"/>
    </row>
    <row r="240" spans="2:10" s="21" customFormat="1" ht="13.7" customHeight="1" x14ac:dyDescent="0.2">
      <c r="B240" s="195"/>
      <c r="C240" s="195"/>
      <c r="D240" s="195"/>
      <c r="E240" s="195"/>
      <c r="F240" s="195"/>
      <c r="G240" s="195"/>
      <c r="H240" s="195"/>
      <c r="I240" s="195"/>
      <c r="J240" s="195"/>
    </row>
    <row r="241" spans="2:10" s="21" customFormat="1" ht="13.7" customHeight="1" x14ac:dyDescent="0.2">
      <c r="B241" s="195"/>
      <c r="C241" s="195"/>
      <c r="D241" s="195"/>
      <c r="E241" s="195"/>
      <c r="F241" s="195"/>
      <c r="G241" s="195"/>
      <c r="H241" s="195"/>
      <c r="I241" s="195"/>
      <c r="J241" s="195"/>
    </row>
    <row r="242" spans="2:10" s="21" customFormat="1" ht="13.7" customHeight="1" x14ac:dyDescent="0.2">
      <c r="B242" s="195"/>
      <c r="C242" s="195"/>
      <c r="D242" s="195"/>
      <c r="E242" s="195"/>
      <c r="F242" s="195"/>
      <c r="G242" s="195"/>
      <c r="H242" s="195"/>
      <c r="I242" s="195"/>
      <c r="J242" s="195"/>
    </row>
    <row r="243" spans="2:10" s="21" customFormat="1" ht="13.7" customHeight="1" x14ac:dyDescent="0.2">
      <c r="B243" s="195"/>
      <c r="C243" s="195"/>
      <c r="D243" s="195"/>
      <c r="E243" s="195"/>
      <c r="F243" s="195"/>
      <c r="G243" s="195"/>
      <c r="H243" s="195"/>
      <c r="I243" s="195"/>
      <c r="J243" s="195"/>
    </row>
    <row r="244" spans="2:10" s="21" customFormat="1" ht="13.7" customHeight="1" x14ac:dyDescent="0.2">
      <c r="B244" s="195"/>
      <c r="C244" s="195"/>
      <c r="D244" s="195"/>
      <c r="E244" s="195"/>
      <c r="F244" s="195"/>
      <c r="G244" s="195"/>
      <c r="H244" s="195"/>
      <c r="I244" s="195"/>
      <c r="J244" s="195"/>
    </row>
    <row r="245" spans="2:10" s="21" customFormat="1" ht="13.7" customHeight="1" x14ac:dyDescent="0.2">
      <c r="B245" s="195"/>
      <c r="C245" s="195"/>
      <c r="D245" s="195"/>
      <c r="E245" s="195"/>
      <c r="F245" s="195"/>
      <c r="G245" s="195"/>
      <c r="H245" s="195"/>
      <c r="I245" s="195"/>
      <c r="J245" s="195"/>
    </row>
    <row r="246" spans="2:10" s="21" customFormat="1" ht="13.7" customHeight="1" x14ac:dyDescent="0.2">
      <c r="B246" s="195"/>
      <c r="C246" s="195"/>
      <c r="D246" s="195"/>
      <c r="E246" s="195"/>
      <c r="F246" s="195"/>
      <c r="G246" s="195"/>
      <c r="H246" s="195"/>
      <c r="I246" s="195"/>
      <c r="J246" s="195"/>
    </row>
    <row r="247" spans="2:10" s="21" customFormat="1" ht="13.7" customHeight="1" x14ac:dyDescent="0.2">
      <c r="B247" s="195"/>
      <c r="C247" s="195"/>
      <c r="D247" s="195"/>
      <c r="E247" s="195"/>
      <c r="F247" s="195"/>
      <c r="G247" s="195"/>
      <c r="H247" s="195"/>
      <c r="I247" s="195"/>
      <c r="J247" s="195"/>
    </row>
    <row r="248" spans="2:10" s="21" customFormat="1" ht="13.7" customHeight="1" x14ac:dyDescent="0.2">
      <c r="B248" s="195"/>
      <c r="C248" s="195"/>
      <c r="D248" s="195"/>
      <c r="E248" s="195"/>
      <c r="F248" s="195"/>
      <c r="G248" s="195"/>
      <c r="H248" s="195"/>
      <c r="I248" s="195"/>
      <c r="J248" s="195"/>
    </row>
    <row r="249" spans="2:10" s="21" customFormat="1" ht="13.7" customHeight="1" x14ac:dyDescent="0.2">
      <c r="B249" s="195"/>
      <c r="C249" s="195"/>
      <c r="D249" s="195"/>
      <c r="E249" s="195"/>
      <c r="F249" s="195"/>
      <c r="G249" s="195"/>
      <c r="H249" s="195"/>
      <c r="I249" s="195"/>
      <c r="J249" s="195"/>
    </row>
    <row r="250" spans="2:10" s="21" customFormat="1" ht="13.7" customHeight="1" x14ac:dyDescent="0.2">
      <c r="B250" s="195"/>
      <c r="C250" s="195"/>
      <c r="D250" s="195"/>
      <c r="E250" s="195"/>
      <c r="F250" s="195"/>
      <c r="G250" s="195"/>
      <c r="H250" s="195"/>
      <c r="I250" s="195"/>
      <c r="J250" s="195"/>
    </row>
    <row r="251" spans="2:10" s="21" customFormat="1" ht="13.7" customHeight="1" x14ac:dyDescent="0.2">
      <c r="B251" s="195"/>
      <c r="C251" s="195"/>
      <c r="D251" s="195"/>
      <c r="E251" s="195"/>
      <c r="F251" s="195"/>
      <c r="G251" s="195"/>
      <c r="H251" s="195"/>
      <c r="I251" s="195"/>
      <c r="J251" s="195"/>
    </row>
    <row r="252" spans="2:10" s="21" customFormat="1" ht="13.7" customHeight="1" x14ac:dyDescent="0.2">
      <c r="B252" s="195"/>
      <c r="C252" s="195"/>
      <c r="D252" s="195"/>
      <c r="E252" s="195"/>
      <c r="F252" s="195"/>
      <c r="G252" s="195"/>
      <c r="H252" s="195"/>
      <c r="I252" s="195"/>
      <c r="J252" s="195"/>
    </row>
    <row r="253" spans="2:10" s="21" customFormat="1" ht="13.7" customHeight="1" x14ac:dyDescent="0.2">
      <c r="B253" s="195"/>
      <c r="C253" s="195"/>
      <c r="D253" s="195"/>
      <c r="E253" s="195"/>
      <c r="F253" s="195"/>
      <c r="G253" s="195"/>
      <c r="H253" s="195"/>
      <c r="I253" s="195"/>
      <c r="J253" s="195"/>
    </row>
    <row r="254" spans="2:10" s="21" customFormat="1" ht="13.7" customHeight="1" x14ac:dyDescent="0.2">
      <c r="B254" s="195"/>
      <c r="C254" s="195"/>
      <c r="D254" s="195"/>
      <c r="E254" s="195"/>
      <c r="F254" s="195"/>
      <c r="G254" s="195"/>
      <c r="H254" s="195"/>
      <c r="I254" s="195"/>
      <c r="J254" s="195"/>
    </row>
    <row r="255" spans="2:10" s="21" customFormat="1" ht="13.7" customHeight="1" x14ac:dyDescent="0.2">
      <c r="B255" s="195"/>
      <c r="C255" s="195"/>
      <c r="D255" s="195"/>
      <c r="E255" s="195"/>
      <c r="F255" s="195"/>
      <c r="G255" s="195"/>
      <c r="H255" s="195"/>
      <c r="I255" s="195"/>
      <c r="J255" s="195"/>
    </row>
    <row r="256" spans="2:10" s="21" customFormat="1" ht="13.7" customHeight="1" x14ac:dyDescent="0.2">
      <c r="B256" s="195"/>
      <c r="C256" s="195"/>
      <c r="D256" s="195"/>
      <c r="E256" s="195"/>
      <c r="F256" s="195"/>
      <c r="G256" s="195"/>
      <c r="H256" s="195"/>
      <c r="I256" s="195"/>
      <c r="J256" s="195"/>
    </row>
    <row r="257" spans="2:10" s="21" customFormat="1" ht="13.7" customHeight="1" x14ac:dyDescent="0.2">
      <c r="B257" s="195"/>
      <c r="C257" s="195"/>
      <c r="D257" s="195"/>
      <c r="E257" s="195"/>
      <c r="F257" s="195"/>
      <c r="G257" s="195"/>
      <c r="H257" s="195"/>
      <c r="I257" s="195"/>
      <c r="J257" s="195"/>
    </row>
    <row r="258" spans="2:10" s="21" customFormat="1" ht="13.7" customHeight="1" x14ac:dyDescent="0.2">
      <c r="B258" s="195"/>
      <c r="C258" s="195"/>
      <c r="D258" s="195"/>
      <c r="E258" s="195"/>
      <c r="F258" s="195"/>
      <c r="G258" s="195"/>
      <c r="H258" s="195"/>
      <c r="I258" s="195"/>
      <c r="J258" s="195"/>
    </row>
    <row r="259" spans="2:10" s="21" customFormat="1" ht="13.7" customHeight="1" x14ac:dyDescent="0.2">
      <c r="B259" s="195"/>
      <c r="C259" s="195"/>
      <c r="D259" s="195"/>
      <c r="E259" s="195"/>
      <c r="F259" s="195"/>
      <c r="G259" s="195"/>
      <c r="H259" s="195"/>
      <c r="I259" s="195"/>
      <c r="J259" s="195"/>
    </row>
    <row r="260" spans="2:10" s="21" customFormat="1" ht="13.7" customHeight="1" x14ac:dyDescent="0.2">
      <c r="B260" s="195"/>
      <c r="C260" s="195"/>
      <c r="D260" s="195"/>
      <c r="E260" s="195"/>
      <c r="F260" s="195"/>
      <c r="G260" s="195"/>
      <c r="H260" s="195"/>
      <c r="I260" s="195"/>
      <c r="J260" s="195"/>
    </row>
    <row r="261" spans="2:10" s="21" customFormat="1" ht="13.7" customHeight="1" x14ac:dyDescent="0.2">
      <c r="B261" s="195"/>
      <c r="C261" s="195"/>
      <c r="D261" s="195"/>
      <c r="E261" s="195"/>
      <c r="F261" s="195"/>
      <c r="G261" s="195"/>
      <c r="H261" s="195"/>
      <c r="I261" s="195"/>
      <c r="J261" s="195"/>
    </row>
    <row r="262" spans="2:10" s="21" customFormat="1" ht="13.7" customHeight="1" x14ac:dyDescent="0.2">
      <c r="B262" s="195"/>
      <c r="C262" s="195"/>
      <c r="D262" s="195"/>
      <c r="E262" s="195"/>
      <c r="F262" s="195"/>
      <c r="G262" s="195"/>
      <c r="H262" s="195"/>
      <c r="I262" s="195"/>
      <c r="J262" s="195"/>
    </row>
    <row r="263" spans="2:10" s="21" customFormat="1" ht="13.7" customHeight="1" x14ac:dyDescent="0.2">
      <c r="B263" s="195"/>
      <c r="C263" s="195"/>
      <c r="D263" s="195"/>
      <c r="E263" s="195"/>
      <c r="F263" s="195"/>
      <c r="G263" s="195"/>
      <c r="H263" s="195"/>
      <c r="I263" s="195"/>
      <c r="J263" s="195"/>
    </row>
    <row r="264" spans="2:10" s="21" customFormat="1" ht="13.7" customHeight="1" x14ac:dyDescent="0.2">
      <c r="B264" s="195"/>
      <c r="C264" s="195"/>
      <c r="D264" s="195"/>
      <c r="E264" s="195"/>
      <c r="F264" s="195"/>
      <c r="G264" s="195"/>
      <c r="H264" s="195"/>
      <c r="I264" s="195"/>
      <c r="J264" s="195"/>
    </row>
    <row r="265" spans="2:10" s="21" customFormat="1" ht="13.7" customHeight="1" x14ac:dyDescent="0.2">
      <c r="B265" s="195"/>
      <c r="C265" s="195"/>
      <c r="D265" s="195"/>
      <c r="E265" s="195"/>
      <c r="F265" s="195"/>
      <c r="G265" s="195"/>
      <c r="H265" s="195"/>
      <c r="I265" s="195"/>
      <c r="J265" s="195"/>
    </row>
    <row r="266" spans="2:10" s="21" customFormat="1" ht="13.7" customHeight="1" x14ac:dyDescent="0.2">
      <c r="B266" s="195"/>
      <c r="C266" s="195"/>
      <c r="D266" s="195"/>
      <c r="E266" s="195"/>
      <c r="F266" s="195"/>
      <c r="G266" s="195"/>
      <c r="H266" s="195"/>
      <c r="I266" s="195"/>
      <c r="J266" s="195"/>
    </row>
    <row r="267" spans="2:10" s="21" customFormat="1" ht="13.7" customHeight="1" x14ac:dyDescent="0.2">
      <c r="B267" s="195"/>
      <c r="C267" s="195"/>
      <c r="D267" s="195"/>
      <c r="E267" s="195"/>
      <c r="F267" s="195"/>
      <c r="G267" s="195"/>
      <c r="H267" s="195"/>
      <c r="I267" s="195"/>
      <c r="J267" s="195"/>
    </row>
    <row r="268" spans="2:10" s="21" customFormat="1" ht="13.7" customHeight="1" x14ac:dyDescent="0.2">
      <c r="B268" s="195"/>
      <c r="C268" s="195"/>
      <c r="D268" s="195"/>
      <c r="E268" s="195"/>
      <c r="F268" s="195"/>
      <c r="G268" s="195"/>
      <c r="H268" s="195"/>
      <c r="I268" s="195"/>
      <c r="J268" s="195"/>
    </row>
    <row r="269" spans="2:10" s="21" customFormat="1" ht="13.7" customHeight="1" x14ac:dyDescent="0.2">
      <c r="B269" s="195"/>
      <c r="C269" s="195"/>
      <c r="D269" s="195"/>
      <c r="E269" s="195"/>
      <c r="F269" s="195"/>
      <c r="G269" s="195"/>
      <c r="H269" s="195"/>
      <c r="I269" s="195"/>
      <c r="J269" s="195"/>
    </row>
    <row r="270" spans="2:10" s="21" customFormat="1" ht="13.7" customHeight="1" x14ac:dyDescent="0.2">
      <c r="B270" s="195"/>
      <c r="C270" s="195"/>
      <c r="D270" s="195"/>
      <c r="E270" s="195"/>
      <c r="F270" s="195"/>
      <c r="G270" s="195"/>
      <c r="H270" s="195"/>
      <c r="I270" s="195"/>
      <c r="J270" s="195"/>
    </row>
    <row r="271" spans="2:10" s="21" customFormat="1" ht="13.7" customHeight="1" x14ac:dyDescent="0.2">
      <c r="B271" s="195"/>
      <c r="C271" s="195"/>
      <c r="D271" s="195"/>
      <c r="E271" s="195"/>
      <c r="F271" s="195"/>
      <c r="G271" s="195"/>
      <c r="H271" s="195"/>
      <c r="I271" s="195"/>
      <c r="J271" s="195"/>
    </row>
    <row r="272" spans="2:10" s="21" customFormat="1" ht="13.7" customHeight="1" x14ac:dyDescent="0.2">
      <c r="B272" s="195"/>
      <c r="C272" s="195"/>
      <c r="D272" s="195"/>
      <c r="E272" s="195"/>
      <c r="F272" s="195"/>
      <c r="G272" s="195"/>
      <c r="H272" s="195"/>
      <c r="I272" s="195"/>
      <c r="J272" s="195"/>
    </row>
    <row r="273" spans="2:10" s="21" customFormat="1" ht="13.7" customHeight="1" x14ac:dyDescent="0.2">
      <c r="B273" s="195"/>
      <c r="C273" s="195"/>
      <c r="D273" s="195"/>
      <c r="E273" s="195"/>
      <c r="F273" s="195"/>
      <c r="G273" s="195"/>
      <c r="H273" s="195"/>
      <c r="I273" s="195"/>
      <c r="J273" s="195"/>
    </row>
    <row r="274" spans="2:10" s="21" customFormat="1" ht="13.7" customHeight="1" x14ac:dyDescent="0.2">
      <c r="B274" s="195"/>
      <c r="C274" s="195"/>
      <c r="D274" s="195"/>
      <c r="E274" s="195"/>
      <c r="F274" s="195"/>
      <c r="G274" s="195"/>
      <c r="H274" s="195"/>
      <c r="I274" s="195"/>
      <c r="J274" s="195"/>
    </row>
    <row r="275" spans="2:10" s="21" customFormat="1" ht="13.7" customHeight="1" x14ac:dyDescent="0.2">
      <c r="B275" s="195"/>
      <c r="C275" s="195"/>
      <c r="D275" s="195"/>
      <c r="E275" s="195"/>
      <c r="F275" s="195"/>
      <c r="G275" s="195"/>
      <c r="H275" s="195"/>
      <c r="I275" s="195"/>
      <c r="J275" s="195"/>
    </row>
    <row r="276" spans="2:10" s="21" customFormat="1" ht="13.7" customHeight="1" x14ac:dyDescent="0.2">
      <c r="B276" s="195"/>
      <c r="C276" s="195"/>
      <c r="D276" s="195"/>
      <c r="E276" s="195"/>
      <c r="F276" s="195"/>
      <c r="G276" s="195"/>
      <c r="H276" s="195"/>
      <c r="I276" s="195"/>
      <c r="J276" s="195"/>
    </row>
    <row r="277" spans="2:10" s="21" customFormat="1" ht="13.7" customHeight="1" x14ac:dyDescent="0.2">
      <c r="B277" s="195"/>
      <c r="C277" s="195"/>
      <c r="D277" s="195"/>
      <c r="E277" s="195"/>
      <c r="F277" s="195"/>
      <c r="G277" s="195"/>
      <c r="H277" s="195"/>
      <c r="I277" s="195"/>
      <c r="J277" s="195"/>
    </row>
    <row r="278" spans="2:10" s="21" customFormat="1" ht="13.7" customHeight="1" x14ac:dyDescent="0.2">
      <c r="B278" s="195"/>
      <c r="C278" s="195"/>
      <c r="D278" s="195"/>
      <c r="E278" s="195"/>
      <c r="F278" s="195"/>
      <c r="G278" s="195"/>
      <c r="H278" s="195"/>
      <c r="I278" s="195"/>
      <c r="J278" s="195"/>
    </row>
    <row r="279" spans="2:10" s="21" customFormat="1" ht="13.7" customHeight="1" x14ac:dyDescent="0.2">
      <c r="B279" s="195"/>
      <c r="C279" s="195"/>
      <c r="D279" s="195"/>
      <c r="E279" s="195"/>
      <c r="F279" s="195"/>
      <c r="G279" s="195"/>
      <c r="H279" s="195"/>
      <c r="I279" s="195"/>
      <c r="J279" s="195"/>
    </row>
    <row r="280" spans="2:10" s="21" customFormat="1" ht="13.7" customHeight="1" x14ac:dyDescent="0.2">
      <c r="B280" s="195"/>
      <c r="C280" s="195"/>
      <c r="D280" s="195"/>
      <c r="E280" s="195"/>
      <c r="F280" s="195"/>
      <c r="G280" s="195"/>
      <c r="H280" s="195"/>
      <c r="I280" s="195"/>
      <c r="J280" s="195"/>
    </row>
    <row r="281" spans="2:10" s="21" customFormat="1" ht="13.7" customHeight="1" x14ac:dyDescent="0.2">
      <c r="B281" s="195"/>
      <c r="C281" s="195"/>
      <c r="D281" s="195"/>
      <c r="E281" s="195"/>
      <c r="F281" s="195"/>
      <c r="G281" s="195"/>
      <c r="H281" s="195"/>
      <c r="I281" s="195"/>
      <c r="J281" s="195"/>
    </row>
    <row r="282" spans="2:10" s="21" customFormat="1" ht="13.7" customHeight="1" x14ac:dyDescent="0.2">
      <c r="B282" s="195"/>
      <c r="C282" s="195"/>
      <c r="D282" s="195"/>
      <c r="E282" s="195"/>
      <c r="F282" s="195"/>
      <c r="G282" s="195"/>
      <c r="H282" s="195"/>
      <c r="I282" s="195"/>
      <c r="J282" s="195"/>
    </row>
    <row r="283" spans="2:10" s="21" customFormat="1" ht="13.7" customHeight="1" x14ac:dyDescent="0.2">
      <c r="B283" s="195"/>
      <c r="C283" s="195"/>
      <c r="D283" s="195"/>
      <c r="E283" s="195"/>
      <c r="F283" s="195"/>
      <c r="G283" s="195"/>
      <c r="H283" s="195"/>
      <c r="I283" s="195"/>
      <c r="J283" s="195"/>
    </row>
    <row r="284" spans="2:10" s="21" customFormat="1" ht="13.7" customHeight="1" x14ac:dyDescent="0.2">
      <c r="B284" s="195"/>
      <c r="C284" s="195"/>
      <c r="D284" s="195"/>
      <c r="E284" s="195"/>
      <c r="F284" s="195"/>
      <c r="G284" s="195"/>
      <c r="H284" s="195"/>
      <c r="I284" s="195"/>
      <c r="J284" s="195"/>
    </row>
    <row r="285" spans="2:10" s="21" customFormat="1" ht="13.7" customHeight="1" x14ac:dyDescent="0.2">
      <c r="B285" s="195"/>
      <c r="C285" s="195"/>
      <c r="D285" s="195"/>
      <c r="E285" s="195"/>
      <c r="F285" s="195"/>
      <c r="G285" s="195"/>
      <c r="H285" s="195"/>
      <c r="I285" s="195"/>
      <c r="J285" s="195"/>
    </row>
    <row r="286" spans="2:10" s="21" customFormat="1" ht="13.7" customHeight="1" x14ac:dyDescent="0.2">
      <c r="B286" s="195"/>
      <c r="C286" s="195"/>
      <c r="D286" s="195"/>
      <c r="E286" s="195"/>
      <c r="F286" s="195"/>
      <c r="G286" s="195"/>
      <c r="H286" s="195"/>
      <c r="I286" s="195"/>
      <c r="J286" s="195"/>
    </row>
    <row r="287" spans="2:10" s="21" customFormat="1" ht="13.7" customHeight="1" x14ac:dyDescent="0.2">
      <c r="B287" s="195"/>
      <c r="C287" s="195"/>
      <c r="D287" s="195"/>
      <c r="E287" s="195"/>
      <c r="F287" s="195"/>
      <c r="G287" s="195"/>
      <c r="H287" s="195"/>
      <c r="I287" s="195"/>
      <c r="J287" s="195"/>
    </row>
    <row r="288" spans="2:10" s="21" customFormat="1" ht="13.7" customHeight="1" x14ac:dyDescent="0.2">
      <c r="B288" s="195"/>
      <c r="C288" s="195"/>
      <c r="D288" s="195"/>
      <c r="E288" s="195"/>
      <c r="F288" s="195"/>
      <c r="G288" s="195"/>
      <c r="H288" s="195"/>
      <c r="I288" s="195"/>
      <c r="J288" s="195"/>
    </row>
    <row r="289" spans="2:10" s="21" customFormat="1" ht="13.7" customHeight="1" x14ac:dyDescent="0.2">
      <c r="B289" s="195"/>
      <c r="C289" s="195"/>
      <c r="D289" s="195"/>
      <c r="E289" s="195"/>
      <c r="F289" s="195"/>
      <c r="G289" s="195"/>
      <c r="H289" s="195"/>
      <c r="I289" s="195"/>
      <c r="J289" s="195"/>
    </row>
    <row r="290" spans="2:10" s="21" customFormat="1" ht="13.7" customHeight="1" x14ac:dyDescent="0.2">
      <c r="B290" s="195"/>
      <c r="C290" s="195"/>
      <c r="D290" s="195"/>
      <c r="E290" s="195"/>
      <c r="F290" s="195"/>
      <c r="G290" s="195"/>
      <c r="H290" s="195"/>
      <c r="I290" s="195"/>
      <c r="J290" s="195"/>
    </row>
    <row r="291" spans="2:10" s="21" customFormat="1" ht="13.7" customHeight="1" x14ac:dyDescent="0.2">
      <c r="B291" s="195"/>
      <c r="C291" s="195"/>
      <c r="D291" s="195"/>
      <c r="E291" s="195"/>
      <c r="F291" s="195"/>
      <c r="G291" s="195"/>
      <c r="H291" s="195"/>
      <c r="I291" s="195"/>
      <c r="J291" s="195"/>
    </row>
    <row r="292" spans="2:10" s="21" customFormat="1" ht="13.7" customHeight="1" x14ac:dyDescent="0.2">
      <c r="B292" s="195"/>
      <c r="C292" s="195"/>
      <c r="D292" s="195"/>
      <c r="E292" s="195"/>
      <c r="F292" s="195"/>
      <c r="G292" s="195"/>
      <c r="H292" s="195"/>
      <c r="I292" s="195"/>
      <c r="J292" s="195"/>
    </row>
    <row r="293" spans="2:10" s="21" customFormat="1" ht="13.7" customHeight="1" x14ac:dyDescent="0.2">
      <c r="B293" s="195"/>
      <c r="C293" s="195"/>
      <c r="D293" s="195"/>
      <c r="E293" s="195"/>
      <c r="F293" s="195"/>
      <c r="G293" s="195"/>
      <c r="H293" s="195"/>
      <c r="I293" s="195"/>
      <c r="J293" s="195"/>
    </row>
    <row r="294" spans="2:10" s="21" customFormat="1" ht="13.7" customHeight="1" x14ac:dyDescent="0.2">
      <c r="B294" s="195"/>
      <c r="C294" s="195"/>
      <c r="D294" s="195"/>
      <c r="E294" s="195"/>
      <c r="F294" s="195"/>
      <c r="G294" s="195"/>
      <c r="H294" s="195"/>
      <c r="I294" s="195"/>
      <c r="J294" s="195"/>
    </row>
    <row r="295" spans="2:10" s="21" customFormat="1" ht="13.7" customHeight="1" x14ac:dyDescent="0.2">
      <c r="B295" s="195"/>
      <c r="C295" s="195"/>
      <c r="D295" s="195"/>
      <c r="E295" s="195"/>
      <c r="F295" s="195"/>
      <c r="G295" s="195"/>
      <c r="H295" s="195"/>
      <c r="I295" s="195"/>
      <c r="J295" s="195"/>
    </row>
    <row r="296" spans="2:10" s="21" customFormat="1" ht="13.7" customHeight="1" x14ac:dyDescent="0.2">
      <c r="B296" s="195"/>
      <c r="C296" s="195"/>
      <c r="D296" s="195"/>
      <c r="E296" s="195"/>
      <c r="F296" s="195"/>
      <c r="G296" s="195"/>
      <c r="H296" s="195"/>
      <c r="I296" s="195"/>
      <c r="J296" s="195"/>
    </row>
    <row r="297" spans="2:10" s="21" customFormat="1" ht="13.7" customHeight="1" x14ac:dyDescent="0.2">
      <c r="B297" s="195"/>
      <c r="C297" s="195"/>
      <c r="D297" s="195"/>
      <c r="E297" s="195"/>
      <c r="F297" s="195"/>
      <c r="G297" s="195"/>
      <c r="H297" s="195"/>
      <c r="I297" s="195"/>
      <c r="J297" s="195"/>
    </row>
    <row r="298" spans="2:10" s="21" customFormat="1" ht="13.7" customHeight="1" x14ac:dyDescent="0.2">
      <c r="B298" s="195"/>
      <c r="C298" s="195"/>
      <c r="D298" s="195"/>
      <c r="E298" s="195"/>
      <c r="F298" s="195"/>
      <c r="G298" s="195"/>
      <c r="H298" s="195"/>
      <c r="I298" s="195"/>
      <c r="J298" s="195"/>
    </row>
    <row r="299" spans="2:10" s="21" customFormat="1" ht="13.7" customHeight="1" x14ac:dyDescent="0.2">
      <c r="B299" s="195"/>
      <c r="C299" s="195"/>
      <c r="D299" s="195"/>
      <c r="E299" s="195"/>
      <c r="F299" s="195"/>
      <c r="G299" s="195"/>
      <c r="H299" s="195"/>
      <c r="I299" s="195"/>
      <c r="J299" s="195"/>
    </row>
    <row r="300" spans="2:10" s="21" customFormat="1" ht="13.7" customHeight="1" x14ac:dyDescent="0.2">
      <c r="B300" s="195"/>
      <c r="C300" s="195"/>
      <c r="D300" s="195"/>
      <c r="E300" s="195"/>
      <c r="F300" s="195"/>
      <c r="G300" s="195"/>
      <c r="H300" s="195"/>
      <c r="I300" s="195"/>
      <c r="J300" s="195"/>
    </row>
    <row r="301" spans="2:10" s="21" customFormat="1" ht="13.7" customHeight="1" x14ac:dyDescent="0.2">
      <c r="B301" s="195"/>
      <c r="C301" s="195"/>
      <c r="D301" s="195"/>
      <c r="E301" s="195"/>
      <c r="F301" s="195"/>
      <c r="G301" s="195"/>
      <c r="H301" s="195"/>
      <c r="I301" s="195"/>
      <c r="J301" s="195"/>
    </row>
    <row r="302" spans="2:10" s="21" customFormat="1" ht="13.7" customHeight="1" x14ac:dyDescent="0.2">
      <c r="B302" s="195"/>
      <c r="C302" s="195"/>
      <c r="D302" s="195"/>
      <c r="E302" s="195"/>
      <c r="F302" s="195"/>
      <c r="G302" s="195"/>
      <c r="H302" s="195"/>
      <c r="I302" s="195"/>
      <c r="J302" s="195"/>
    </row>
    <row r="303" spans="2:10" s="21" customFormat="1" ht="13.7" customHeight="1" x14ac:dyDescent="0.2">
      <c r="B303" s="195"/>
      <c r="C303" s="195"/>
      <c r="D303" s="195"/>
      <c r="E303" s="195"/>
      <c r="F303" s="195"/>
      <c r="G303" s="195"/>
      <c r="H303" s="195"/>
      <c r="I303" s="195"/>
      <c r="J303" s="195"/>
    </row>
    <row r="304" spans="2:10" s="21" customFormat="1" ht="13.7" customHeight="1" x14ac:dyDescent="0.2">
      <c r="B304" s="195"/>
      <c r="C304" s="195"/>
      <c r="D304" s="195"/>
      <c r="E304" s="195"/>
      <c r="F304" s="195"/>
      <c r="G304" s="195"/>
      <c r="H304" s="195"/>
      <c r="I304" s="195"/>
      <c r="J304" s="195"/>
    </row>
    <row r="305" spans="2:10" s="21" customFormat="1" ht="13.7" customHeight="1" x14ac:dyDescent="0.2">
      <c r="B305" s="195"/>
      <c r="C305" s="195"/>
      <c r="D305" s="195"/>
      <c r="E305" s="195"/>
      <c r="F305" s="195"/>
      <c r="G305" s="195"/>
      <c r="H305" s="195"/>
      <c r="I305" s="195"/>
      <c r="J305" s="195"/>
    </row>
    <row r="306" spans="2:10" s="21" customFormat="1" ht="13.7" customHeight="1" x14ac:dyDescent="0.2">
      <c r="B306" s="195"/>
      <c r="C306" s="195"/>
      <c r="D306" s="195"/>
      <c r="E306" s="195"/>
      <c r="F306" s="195"/>
      <c r="G306" s="195"/>
      <c r="H306" s="195"/>
      <c r="I306" s="195"/>
      <c r="J306" s="195"/>
    </row>
    <row r="307" spans="2:10" s="21" customFormat="1" ht="13.7" customHeight="1" x14ac:dyDescent="0.2">
      <c r="B307" s="195"/>
      <c r="C307" s="195"/>
      <c r="D307" s="195"/>
      <c r="E307" s="195"/>
      <c r="F307" s="195"/>
      <c r="G307" s="195"/>
      <c r="H307" s="195"/>
      <c r="I307" s="195"/>
      <c r="J307" s="195"/>
    </row>
    <row r="308" spans="2:10" s="21" customFormat="1" ht="13.7" customHeight="1" x14ac:dyDescent="0.2">
      <c r="B308" s="195"/>
      <c r="C308" s="195"/>
      <c r="D308" s="195"/>
      <c r="E308" s="195"/>
      <c r="F308" s="195"/>
      <c r="G308" s="195"/>
      <c r="H308" s="195"/>
      <c r="I308" s="195"/>
      <c r="J308" s="195"/>
    </row>
    <row r="309" spans="2:10" s="21" customFormat="1" ht="13.7" customHeight="1" x14ac:dyDescent="0.2">
      <c r="B309" s="195"/>
      <c r="C309" s="195"/>
      <c r="D309" s="195"/>
      <c r="E309" s="195"/>
      <c r="F309" s="195"/>
      <c r="G309" s="195"/>
      <c r="H309" s="195"/>
      <c r="I309" s="195"/>
      <c r="J309" s="195"/>
    </row>
    <row r="310" spans="2:10" s="21" customFormat="1" ht="13.7" customHeight="1" x14ac:dyDescent="0.2">
      <c r="B310" s="195"/>
      <c r="C310" s="195"/>
      <c r="D310" s="195"/>
      <c r="E310" s="195"/>
      <c r="F310" s="195"/>
      <c r="G310" s="195"/>
      <c r="H310" s="195"/>
      <c r="I310" s="195"/>
      <c r="J310" s="195"/>
    </row>
    <row r="311" spans="2:10" s="21" customFormat="1" ht="13.7" customHeight="1" x14ac:dyDescent="0.2">
      <c r="B311" s="195"/>
      <c r="C311" s="195"/>
      <c r="D311" s="195"/>
      <c r="E311" s="195"/>
      <c r="F311" s="195"/>
      <c r="G311" s="195"/>
      <c r="H311" s="195"/>
      <c r="I311" s="195"/>
      <c r="J311" s="195"/>
    </row>
    <row r="312" spans="2:10" s="21" customFormat="1" ht="13.7" customHeight="1" x14ac:dyDescent="0.2">
      <c r="B312" s="195"/>
      <c r="C312" s="195"/>
      <c r="D312" s="195"/>
      <c r="E312" s="195"/>
      <c r="F312" s="195"/>
      <c r="G312" s="195"/>
      <c r="H312" s="195"/>
      <c r="I312" s="195"/>
      <c r="J312" s="195"/>
    </row>
    <row r="313" spans="2:10" s="21" customFormat="1" ht="13.7" customHeight="1" x14ac:dyDescent="0.2">
      <c r="B313" s="195"/>
      <c r="C313" s="195"/>
      <c r="D313" s="195"/>
      <c r="E313" s="195"/>
      <c r="F313" s="195"/>
      <c r="G313" s="195"/>
      <c r="H313" s="195"/>
      <c r="I313" s="195"/>
      <c r="J313" s="195"/>
    </row>
    <row r="314" spans="2:10" s="21" customFormat="1" ht="13.7" customHeight="1" x14ac:dyDescent="0.2">
      <c r="B314" s="195"/>
      <c r="C314" s="195"/>
      <c r="D314" s="195"/>
      <c r="E314" s="195"/>
      <c r="F314" s="195"/>
      <c r="G314" s="195"/>
      <c r="H314" s="195"/>
      <c r="I314" s="195"/>
      <c r="J314" s="195"/>
    </row>
    <row r="315" spans="2:10" s="21" customFormat="1" ht="13.7" customHeight="1" x14ac:dyDescent="0.2">
      <c r="B315" s="195"/>
      <c r="C315" s="195"/>
      <c r="D315" s="195"/>
      <c r="E315" s="195"/>
      <c r="F315" s="195"/>
      <c r="G315" s="195"/>
      <c r="H315" s="195"/>
      <c r="I315" s="195"/>
      <c r="J315" s="195"/>
    </row>
    <row r="316" spans="2:10" s="21" customFormat="1" ht="13.7" customHeight="1" x14ac:dyDescent="0.2">
      <c r="B316" s="195"/>
      <c r="C316" s="195"/>
      <c r="D316" s="195"/>
      <c r="E316" s="195"/>
      <c r="F316" s="195"/>
      <c r="G316" s="195"/>
      <c r="H316" s="195"/>
      <c r="I316" s="195"/>
      <c r="J316" s="195"/>
    </row>
    <row r="317" spans="2:10" s="21" customFormat="1" ht="13.7" customHeight="1" x14ac:dyDescent="0.2">
      <c r="B317" s="195"/>
      <c r="C317" s="195"/>
      <c r="D317" s="195"/>
      <c r="E317" s="195"/>
      <c r="F317" s="195"/>
      <c r="G317" s="195"/>
      <c r="H317" s="195"/>
      <c r="I317" s="195"/>
      <c r="J317" s="195"/>
    </row>
    <row r="318" spans="2:10" s="21" customFormat="1" ht="13.7" customHeight="1" x14ac:dyDescent="0.2">
      <c r="B318" s="195"/>
      <c r="C318" s="195"/>
      <c r="D318" s="195"/>
      <c r="E318" s="195"/>
      <c r="F318" s="195"/>
      <c r="G318" s="195"/>
      <c r="H318" s="195"/>
      <c r="I318" s="195"/>
      <c r="J318" s="195"/>
    </row>
    <row r="319" spans="2:10" s="21" customFormat="1" ht="13.7" customHeight="1" x14ac:dyDescent="0.2">
      <c r="B319" s="195"/>
      <c r="C319" s="195"/>
      <c r="D319" s="195"/>
      <c r="E319" s="195"/>
      <c r="F319" s="195"/>
      <c r="G319" s="195"/>
      <c r="H319" s="195"/>
      <c r="I319" s="195"/>
      <c r="J319" s="195"/>
    </row>
    <row r="320" spans="2:10" s="21" customFormat="1" ht="13.7" customHeight="1" x14ac:dyDescent="0.2">
      <c r="B320" s="195"/>
      <c r="C320" s="195"/>
      <c r="D320" s="195"/>
      <c r="E320" s="195"/>
      <c r="F320" s="195"/>
      <c r="G320" s="195"/>
      <c r="H320" s="195"/>
      <c r="I320" s="195"/>
      <c r="J320" s="195"/>
    </row>
    <row r="321" spans="2:10" s="21" customFormat="1" ht="13.7" customHeight="1" x14ac:dyDescent="0.2">
      <c r="B321" s="195"/>
      <c r="C321" s="195"/>
      <c r="D321" s="195"/>
      <c r="E321" s="195"/>
      <c r="F321" s="195"/>
      <c r="G321" s="195"/>
      <c r="H321" s="195"/>
      <c r="I321" s="195"/>
      <c r="J321" s="195"/>
    </row>
    <row r="322" spans="2:10" s="21" customFormat="1" ht="13.7" customHeight="1" x14ac:dyDescent="0.2">
      <c r="B322" s="195"/>
      <c r="C322" s="195"/>
      <c r="D322" s="195"/>
      <c r="E322" s="195"/>
      <c r="F322" s="195"/>
      <c r="G322" s="195"/>
      <c r="H322" s="195"/>
      <c r="I322" s="195"/>
      <c r="J322" s="195"/>
    </row>
    <row r="323" spans="2:10" s="21" customFormat="1" ht="13.7" customHeight="1" x14ac:dyDescent="0.2">
      <c r="B323" s="195"/>
      <c r="C323" s="195"/>
      <c r="D323" s="195"/>
      <c r="E323" s="195"/>
      <c r="F323" s="195"/>
      <c r="G323" s="195"/>
      <c r="H323" s="195"/>
      <c r="I323" s="195"/>
      <c r="J323" s="195"/>
    </row>
    <row r="324" spans="2:10" s="21" customFormat="1" ht="13.7" customHeight="1" x14ac:dyDescent="0.2">
      <c r="B324" s="195"/>
      <c r="C324" s="195"/>
      <c r="D324" s="195"/>
      <c r="E324" s="195"/>
      <c r="F324" s="195"/>
      <c r="G324" s="195"/>
      <c r="H324" s="195"/>
      <c r="I324" s="195"/>
      <c r="J324" s="195"/>
    </row>
    <row r="325" spans="2:10" s="21" customFormat="1" ht="13.7" customHeight="1" x14ac:dyDescent="0.2">
      <c r="B325" s="195"/>
      <c r="C325" s="195"/>
      <c r="D325" s="195"/>
      <c r="E325" s="195"/>
      <c r="F325" s="195"/>
      <c r="G325" s="195"/>
      <c r="H325" s="195"/>
      <c r="I325" s="195"/>
      <c r="J325" s="195"/>
    </row>
    <row r="326" spans="2:10" s="21" customFormat="1" ht="13.7" customHeight="1" x14ac:dyDescent="0.2">
      <c r="B326" s="195"/>
      <c r="C326" s="195"/>
      <c r="D326" s="195"/>
      <c r="E326" s="195"/>
      <c r="F326" s="195"/>
      <c r="G326" s="195"/>
      <c r="H326" s="195"/>
      <c r="I326" s="195"/>
      <c r="J326" s="195"/>
    </row>
    <row r="327" spans="2:10" s="21" customFormat="1" ht="13.7" customHeight="1" x14ac:dyDescent="0.2">
      <c r="B327" s="195"/>
      <c r="C327" s="195"/>
      <c r="D327" s="195"/>
      <c r="E327" s="195"/>
      <c r="F327" s="195"/>
      <c r="G327" s="195"/>
      <c r="H327" s="195"/>
      <c r="I327" s="195"/>
      <c r="J327" s="195"/>
    </row>
    <row r="328" spans="2:10" s="21" customFormat="1" ht="13.7" customHeight="1" x14ac:dyDescent="0.2">
      <c r="B328" s="195"/>
      <c r="C328" s="195"/>
      <c r="D328" s="195"/>
      <c r="E328" s="195"/>
      <c r="F328" s="195"/>
      <c r="G328" s="195"/>
      <c r="H328" s="195"/>
      <c r="I328" s="195"/>
      <c r="J328" s="195"/>
    </row>
    <row r="329" spans="2:10" s="21" customFormat="1" ht="13.7" customHeight="1" x14ac:dyDescent="0.2">
      <c r="B329" s="195"/>
      <c r="C329" s="195"/>
      <c r="D329" s="195"/>
      <c r="E329" s="195"/>
      <c r="F329" s="195"/>
      <c r="G329" s="195"/>
      <c r="H329" s="195"/>
      <c r="I329" s="195"/>
      <c r="J329" s="195"/>
    </row>
    <row r="330" spans="2:10" s="21" customFormat="1" ht="13.7" customHeight="1" x14ac:dyDescent="0.2">
      <c r="B330" s="195"/>
      <c r="C330" s="195"/>
      <c r="D330" s="195"/>
      <c r="E330" s="195"/>
      <c r="F330" s="195"/>
      <c r="G330" s="195"/>
      <c r="H330" s="195"/>
      <c r="I330" s="195"/>
      <c r="J330" s="195"/>
    </row>
    <row r="331" spans="2:10" s="21" customFormat="1" ht="13.7" customHeight="1" x14ac:dyDescent="0.2">
      <c r="B331" s="195"/>
      <c r="C331" s="195"/>
      <c r="D331" s="195"/>
      <c r="E331" s="195"/>
      <c r="F331" s="195"/>
      <c r="G331" s="195"/>
      <c r="H331" s="195"/>
      <c r="I331" s="195"/>
      <c r="J331" s="195"/>
    </row>
    <row r="332" spans="2:10" s="21" customFormat="1" ht="13.7" customHeight="1" x14ac:dyDescent="0.2">
      <c r="B332" s="195"/>
      <c r="C332" s="195"/>
      <c r="D332" s="195"/>
      <c r="E332" s="195"/>
      <c r="F332" s="195"/>
      <c r="G332" s="195"/>
      <c r="H332" s="195"/>
      <c r="I332" s="195"/>
      <c r="J332" s="195"/>
    </row>
    <row r="333" spans="2:10" s="21" customFormat="1" ht="13.7" customHeight="1" x14ac:dyDescent="0.2">
      <c r="B333" s="195"/>
      <c r="C333" s="195"/>
      <c r="D333" s="195"/>
      <c r="E333" s="195"/>
      <c r="F333" s="195"/>
      <c r="G333" s="195"/>
      <c r="H333" s="195"/>
      <c r="I333" s="195"/>
      <c r="J333" s="195"/>
    </row>
    <row r="334" spans="2:10" s="21" customFormat="1" ht="13.7" customHeight="1" x14ac:dyDescent="0.2">
      <c r="B334" s="195"/>
      <c r="C334" s="195"/>
      <c r="D334" s="195"/>
      <c r="E334" s="195"/>
      <c r="F334" s="195"/>
      <c r="G334" s="195"/>
      <c r="H334" s="195"/>
      <c r="I334" s="195"/>
      <c r="J334" s="195"/>
    </row>
    <row r="335" spans="2:10" s="21" customFormat="1" ht="13.7" customHeight="1" x14ac:dyDescent="0.2">
      <c r="B335" s="195"/>
      <c r="C335" s="195"/>
      <c r="D335" s="195"/>
      <c r="E335" s="195"/>
      <c r="F335" s="195"/>
      <c r="G335" s="195"/>
      <c r="H335" s="195"/>
      <c r="I335" s="195"/>
      <c r="J335" s="195"/>
    </row>
    <row r="336" spans="2:10" s="21" customFormat="1" ht="13.7" customHeight="1" x14ac:dyDescent="0.2">
      <c r="B336" s="195"/>
      <c r="C336" s="195"/>
      <c r="D336" s="195"/>
      <c r="E336" s="195"/>
      <c r="F336" s="195"/>
      <c r="G336" s="195"/>
      <c r="H336" s="195"/>
      <c r="I336" s="195"/>
      <c r="J336" s="195"/>
    </row>
    <row r="337" spans="2:10" s="21" customFormat="1" ht="13.7" customHeight="1" x14ac:dyDescent="0.2">
      <c r="B337" s="195"/>
      <c r="C337" s="195"/>
      <c r="D337" s="195"/>
      <c r="E337" s="195"/>
      <c r="F337" s="195"/>
      <c r="G337" s="195"/>
      <c r="H337" s="195"/>
      <c r="I337" s="195"/>
      <c r="J337" s="195"/>
    </row>
    <row r="338" spans="2:10" s="21" customFormat="1" ht="13.7" customHeight="1" x14ac:dyDescent="0.2">
      <c r="B338" s="195"/>
      <c r="C338" s="195"/>
      <c r="D338" s="195"/>
      <c r="E338" s="195"/>
      <c r="F338" s="195"/>
      <c r="G338" s="195"/>
      <c r="H338" s="195"/>
      <c r="I338" s="195"/>
      <c r="J338" s="195"/>
    </row>
    <row r="339" spans="2:10" s="21" customFormat="1" ht="13.7" customHeight="1" x14ac:dyDescent="0.2">
      <c r="B339" s="195"/>
      <c r="C339" s="195"/>
      <c r="D339" s="195"/>
      <c r="E339" s="195"/>
      <c r="F339" s="195"/>
      <c r="G339" s="195"/>
      <c r="H339" s="195"/>
      <c r="I339" s="195"/>
      <c r="J339" s="195"/>
    </row>
    <row r="340" spans="2:10" s="21" customFormat="1" ht="13.7" customHeight="1" x14ac:dyDescent="0.2">
      <c r="B340" s="195"/>
      <c r="C340" s="195"/>
      <c r="D340" s="195"/>
      <c r="E340" s="195"/>
      <c r="F340" s="195"/>
      <c r="G340" s="195"/>
      <c r="H340" s="195"/>
      <c r="I340" s="195"/>
      <c r="J340" s="195"/>
    </row>
    <row r="341" spans="2:10" s="21" customFormat="1" ht="13.7" customHeight="1" x14ac:dyDescent="0.2">
      <c r="B341" s="195"/>
      <c r="C341" s="195"/>
      <c r="D341" s="195"/>
      <c r="E341" s="195"/>
      <c r="F341" s="195"/>
      <c r="G341" s="195"/>
      <c r="H341" s="195"/>
      <c r="I341" s="195"/>
      <c r="J341" s="195"/>
    </row>
    <row r="342" spans="2:10" s="21" customFormat="1" ht="13.7" customHeight="1" x14ac:dyDescent="0.2">
      <c r="B342" s="195"/>
      <c r="C342" s="195"/>
      <c r="D342" s="195"/>
      <c r="E342" s="195"/>
      <c r="F342" s="195"/>
      <c r="G342" s="195"/>
      <c r="H342" s="195"/>
      <c r="I342" s="195"/>
      <c r="J342" s="195"/>
    </row>
    <row r="343" spans="2:10" s="21" customFormat="1" ht="13.7" customHeight="1" x14ac:dyDescent="0.2">
      <c r="B343" s="195"/>
      <c r="C343" s="195"/>
      <c r="D343" s="195"/>
      <c r="E343" s="195"/>
      <c r="F343" s="195"/>
      <c r="G343" s="195"/>
      <c r="H343" s="195"/>
      <c r="I343" s="195"/>
      <c r="J343" s="195"/>
    </row>
    <row r="344" spans="2:10" s="21" customFormat="1" ht="13.7" customHeight="1" x14ac:dyDescent="0.2">
      <c r="B344" s="195"/>
      <c r="C344" s="195"/>
      <c r="D344" s="195"/>
      <c r="E344" s="195"/>
      <c r="F344" s="195"/>
      <c r="G344" s="195"/>
      <c r="H344" s="195"/>
      <c r="I344" s="195"/>
      <c r="J344" s="195"/>
    </row>
    <row r="345" spans="2:10" s="21" customFormat="1" ht="13.7" customHeight="1" x14ac:dyDescent="0.2">
      <c r="B345" s="195"/>
      <c r="C345" s="195"/>
      <c r="D345" s="195"/>
      <c r="E345" s="195"/>
      <c r="F345" s="195"/>
      <c r="G345" s="195"/>
      <c r="H345" s="195"/>
      <c r="I345" s="195"/>
      <c r="J345" s="195"/>
    </row>
    <row r="346" spans="2:10" s="21" customFormat="1" ht="13.7" customHeight="1" x14ac:dyDescent="0.2">
      <c r="B346" s="195"/>
      <c r="C346" s="195"/>
      <c r="D346" s="195"/>
      <c r="E346" s="195"/>
      <c r="F346" s="195"/>
      <c r="G346" s="195"/>
      <c r="H346" s="195"/>
      <c r="I346" s="195"/>
      <c r="J346" s="195"/>
    </row>
    <row r="347" spans="2:10" s="21" customFormat="1" ht="13.7" customHeight="1" x14ac:dyDescent="0.2">
      <c r="B347" s="195"/>
      <c r="C347" s="195"/>
      <c r="D347" s="195"/>
      <c r="E347" s="195"/>
      <c r="F347" s="195"/>
      <c r="G347" s="195"/>
      <c r="H347" s="195"/>
      <c r="I347" s="195"/>
      <c r="J347" s="195"/>
    </row>
    <row r="348" spans="2:10" s="21" customFormat="1" ht="13.7" customHeight="1" x14ac:dyDescent="0.2">
      <c r="B348" s="195"/>
      <c r="C348" s="195"/>
      <c r="D348" s="195"/>
      <c r="E348" s="195"/>
      <c r="F348" s="195"/>
      <c r="G348" s="195"/>
      <c r="H348" s="195"/>
      <c r="I348" s="195"/>
      <c r="J348" s="195"/>
    </row>
    <row r="349" spans="2:10" s="21" customFormat="1" ht="13.7" customHeight="1" x14ac:dyDescent="0.2">
      <c r="B349" s="195"/>
      <c r="C349" s="195"/>
      <c r="D349" s="195"/>
      <c r="E349" s="195"/>
      <c r="F349" s="195"/>
      <c r="G349" s="195"/>
      <c r="H349" s="195"/>
      <c r="I349" s="195"/>
      <c r="J349" s="195"/>
    </row>
    <row r="350" spans="2:10" s="21" customFormat="1" ht="13.7" customHeight="1" x14ac:dyDescent="0.2">
      <c r="B350" s="195"/>
      <c r="C350" s="195"/>
      <c r="D350" s="195"/>
      <c r="E350" s="195"/>
      <c r="F350" s="195"/>
      <c r="G350" s="195"/>
      <c r="H350" s="195"/>
      <c r="I350" s="195"/>
      <c r="J350" s="195"/>
    </row>
    <row r="351" spans="2:10" s="21" customFormat="1" ht="13.7" customHeight="1" x14ac:dyDescent="0.2">
      <c r="B351" s="195"/>
      <c r="C351" s="195"/>
      <c r="D351" s="195"/>
      <c r="E351" s="195"/>
      <c r="F351" s="195"/>
      <c r="G351" s="195"/>
      <c r="H351" s="195"/>
      <c r="I351" s="195"/>
      <c r="J351" s="195"/>
    </row>
    <row r="352" spans="2:10" s="21" customFormat="1" ht="13.7" customHeight="1" x14ac:dyDescent="0.2">
      <c r="B352" s="195"/>
      <c r="C352" s="195"/>
      <c r="D352" s="195"/>
      <c r="E352" s="195"/>
      <c r="F352" s="195"/>
      <c r="G352" s="195"/>
      <c r="H352" s="195"/>
      <c r="I352" s="195"/>
      <c r="J352" s="195"/>
    </row>
    <row r="353" spans="2:10" s="21" customFormat="1" ht="13.7" customHeight="1" x14ac:dyDescent="0.2">
      <c r="B353" s="195"/>
      <c r="C353" s="195"/>
      <c r="D353" s="195"/>
      <c r="E353" s="195"/>
      <c r="F353" s="195"/>
      <c r="G353" s="195"/>
      <c r="H353" s="195"/>
      <c r="I353" s="195"/>
      <c r="J353" s="195"/>
    </row>
    <row r="354" spans="2:10" s="21" customFormat="1" ht="13.7" customHeight="1" x14ac:dyDescent="0.2">
      <c r="B354" s="195"/>
      <c r="C354" s="195"/>
      <c r="D354" s="195"/>
      <c r="E354" s="195"/>
      <c r="F354" s="195"/>
      <c r="G354" s="195"/>
      <c r="H354" s="195"/>
      <c r="I354" s="195"/>
      <c r="J354" s="195"/>
    </row>
    <row r="355" spans="2:10" s="21" customFormat="1" ht="13.7" customHeight="1" x14ac:dyDescent="0.2">
      <c r="B355" s="195"/>
      <c r="C355" s="195"/>
      <c r="D355" s="195"/>
      <c r="E355" s="195"/>
      <c r="F355" s="195"/>
      <c r="G355" s="195"/>
      <c r="H355" s="195"/>
      <c r="I355" s="195"/>
      <c r="J355" s="195"/>
    </row>
    <row r="356" spans="2:10" s="21" customFormat="1" ht="13.7" customHeight="1" x14ac:dyDescent="0.2">
      <c r="B356" s="195"/>
      <c r="C356" s="195"/>
      <c r="D356" s="195"/>
      <c r="E356" s="195"/>
      <c r="F356" s="195"/>
      <c r="G356" s="195"/>
      <c r="H356" s="195"/>
      <c r="I356" s="195"/>
      <c r="J356" s="195"/>
    </row>
    <row r="357" spans="2:10" s="21" customFormat="1" ht="13.7" customHeight="1" x14ac:dyDescent="0.2">
      <c r="B357" s="195"/>
      <c r="C357" s="195"/>
      <c r="D357" s="195"/>
      <c r="E357" s="195"/>
      <c r="F357" s="195"/>
      <c r="G357" s="195"/>
      <c r="H357" s="195"/>
      <c r="I357" s="195"/>
      <c r="J357" s="195"/>
    </row>
    <row r="358" spans="2:10" s="21" customFormat="1" ht="13.7" customHeight="1" x14ac:dyDescent="0.2">
      <c r="B358" s="195"/>
      <c r="C358" s="195"/>
      <c r="D358" s="195"/>
      <c r="E358" s="195"/>
      <c r="F358" s="195"/>
      <c r="G358" s="195"/>
      <c r="H358" s="195"/>
      <c r="I358" s="195"/>
      <c r="J358" s="195"/>
    </row>
    <row r="359" spans="2:10" s="21" customFormat="1" ht="13.7" customHeight="1" x14ac:dyDescent="0.2">
      <c r="B359" s="195"/>
      <c r="C359" s="195"/>
      <c r="D359" s="195"/>
      <c r="E359" s="195"/>
      <c r="F359" s="195"/>
      <c r="G359" s="195"/>
      <c r="H359" s="195"/>
      <c r="I359" s="195"/>
      <c r="J359" s="195"/>
    </row>
    <row r="360" spans="2:10" s="21" customFormat="1" ht="13.7" customHeight="1" x14ac:dyDescent="0.2">
      <c r="B360" s="195"/>
      <c r="C360" s="195"/>
      <c r="D360" s="195"/>
      <c r="E360" s="195"/>
      <c r="F360" s="195"/>
      <c r="G360" s="195"/>
      <c r="H360" s="195"/>
      <c r="I360" s="195"/>
      <c r="J360" s="195"/>
    </row>
    <row r="361" spans="2:10" s="21" customFormat="1" ht="13.7" customHeight="1" x14ac:dyDescent="0.2">
      <c r="B361" s="195"/>
      <c r="C361" s="195"/>
      <c r="D361" s="195"/>
      <c r="E361" s="195"/>
      <c r="F361" s="195"/>
      <c r="G361" s="195"/>
      <c r="H361" s="195"/>
      <c r="I361" s="195"/>
      <c r="J361" s="195"/>
    </row>
    <row r="362" spans="2:10" s="21" customFormat="1" ht="13.7" customHeight="1" x14ac:dyDescent="0.2">
      <c r="B362" s="195"/>
      <c r="C362" s="195"/>
      <c r="D362" s="195"/>
      <c r="E362" s="195"/>
      <c r="F362" s="195"/>
      <c r="G362" s="195"/>
      <c r="H362" s="195"/>
      <c r="I362" s="195"/>
      <c r="J362" s="195"/>
    </row>
    <row r="363" spans="2:10" s="21" customFormat="1" ht="13.7" customHeight="1" x14ac:dyDescent="0.2">
      <c r="B363" s="195"/>
      <c r="C363" s="195"/>
      <c r="D363" s="195"/>
      <c r="E363" s="195"/>
      <c r="F363" s="195"/>
      <c r="G363" s="195"/>
      <c r="H363" s="195"/>
      <c r="I363" s="195"/>
      <c r="J363" s="195"/>
    </row>
    <row r="364" spans="2:10" s="21" customFormat="1" ht="13.7" customHeight="1" x14ac:dyDescent="0.2">
      <c r="B364" s="195"/>
      <c r="C364" s="195"/>
      <c r="D364" s="195"/>
      <c r="E364" s="195"/>
      <c r="F364" s="195"/>
      <c r="G364" s="195"/>
      <c r="H364" s="195"/>
      <c r="I364" s="195"/>
      <c r="J364" s="195"/>
    </row>
    <row r="365" spans="2:10" s="21" customFormat="1" ht="13.7" customHeight="1" x14ac:dyDescent="0.2">
      <c r="B365" s="195"/>
      <c r="C365" s="195"/>
      <c r="D365" s="195"/>
      <c r="E365" s="195"/>
      <c r="F365" s="195"/>
      <c r="G365" s="195"/>
      <c r="H365" s="195"/>
      <c r="I365" s="195"/>
      <c r="J365" s="195"/>
    </row>
    <row r="366" spans="2:10" s="21" customFormat="1" ht="13.7" customHeight="1" x14ac:dyDescent="0.2">
      <c r="B366" s="195"/>
      <c r="C366" s="195"/>
      <c r="D366" s="195"/>
      <c r="E366" s="195"/>
      <c r="F366" s="195"/>
      <c r="G366" s="195"/>
      <c r="H366" s="195"/>
      <c r="I366" s="195"/>
      <c r="J366" s="195"/>
    </row>
    <row r="367" spans="2:10" s="21" customFormat="1" ht="13.7" customHeight="1" x14ac:dyDescent="0.2">
      <c r="B367" s="195"/>
      <c r="C367" s="195"/>
      <c r="D367" s="195"/>
      <c r="E367" s="195"/>
      <c r="F367" s="195"/>
      <c r="G367" s="195"/>
      <c r="H367" s="195"/>
      <c r="I367" s="195"/>
      <c r="J367" s="195"/>
    </row>
    <row r="368" spans="2:10" s="21" customFormat="1" ht="13.7" customHeight="1" x14ac:dyDescent="0.2">
      <c r="B368" s="195"/>
      <c r="C368" s="195"/>
      <c r="D368" s="195"/>
      <c r="E368" s="195"/>
      <c r="F368" s="195"/>
      <c r="G368" s="195"/>
      <c r="H368" s="195"/>
      <c r="I368" s="195"/>
      <c r="J368" s="195"/>
    </row>
    <row r="369" spans="2:10" s="21" customFormat="1" ht="13.7" customHeight="1" x14ac:dyDescent="0.2">
      <c r="B369" s="195"/>
      <c r="C369" s="195"/>
      <c r="D369" s="195"/>
      <c r="E369" s="195"/>
      <c r="F369" s="195"/>
      <c r="G369" s="195"/>
      <c r="H369" s="195"/>
      <c r="I369" s="195"/>
      <c r="J369" s="195"/>
    </row>
    <row r="370" spans="2:10" s="21" customFormat="1" ht="13.7" customHeight="1" x14ac:dyDescent="0.2">
      <c r="B370" s="195"/>
      <c r="C370" s="195"/>
      <c r="D370" s="195"/>
      <c r="E370" s="195"/>
      <c r="F370" s="195"/>
      <c r="G370" s="195"/>
      <c r="H370" s="195"/>
      <c r="I370" s="195"/>
      <c r="J370" s="195"/>
    </row>
    <row r="371" spans="2:10" s="21" customFormat="1" ht="13.7" customHeight="1" x14ac:dyDescent="0.2">
      <c r="B371" s="195"/>
      <c r="C371" s="195"/>
      <c r="D371" s="195"/>
      <c r="E371" s="195"/>
      <c r="F371" s="195"/>
      <c r="G371" s="195"/>
      <c r="H371" s="195"/>
      <c r="I371" s="195"/>
      <c r="J371" s="195"/>
    </row>
    <row r="372" spans="2:10" s="21" customFormat="1" ht="13.7" customHeight="1" x14ac:dyDescent="0.2">
      <c r="B372" s="195"/>
      <c r="C372" s="195"/>
      <c r="D372" s="195"/>
      <c r="E372" s="195"/>
      <c r="F372" s="195"/>
      <c r="G372" s="195"/>
      <c r="H372" s="195"/>
      <c r="I372" s="195"/>
      <c r="J372" s="195"/>
    </row>
    <row r="373" spans="2:10" s="21" customFormat="1" ht="13.7" customHeight="1" x14ac:dyDescent="0.2">
      <c r="B373" s="195"/>
      <c r="C373" s="195"/>
      <c r="D373" s="195"/>
      <c r="E373" s="195"/>
      <c r="F373" s="195"/>
      <c r="G373" s="195"/>
      <c r="H373" s="195"/>
      <c r="I373" s="195"/>
      <c r="J373" s="195"/>
    </row>
    <row r="374" spans="2:10" s="21" customFormat="1" ht="13.7" customHeight="1" x14ac:dyDescent="0.2">
      <c r="B374" s="195"/>
      <c r="C374" s="195"/>
      <c r="D374" s="195"/>
      <c r="E374" s="195"/>
      <c r="F374" s="195"/>
      <c r="G374" s="195"/>
      <c r="H374" s="195"/>
      <c r="I374" s="195"/>
      <c r="J374" s="195"/>
    </row>
    <row r="375" spans="2:10" s="21" customFormat="1" ht="13.7" customHeight="1" x14ac:dyDescent="0.2">
      <c r="B375" s="195"/>
      <c r="C375" s="195"/>
      <c r="D375" s="195"/>
      <c r="E375" s="195"/>
      <c r="F375" s="195"/>
      <c r="G375" s="195"/>
      <c r="H375" s="195"/>
      <c r="I375" s="195"/>
      <c r="J375" s="195"/>
    </row>
    <row r="376" spans="2:10" s="21" customFormat="1" ht="13.7" customHeight="1" x14ac:dyDescent="0.2">
      <c r="B376" s="195"/>
      <c r="C376" s="195"/>
      <c r="D376" s="195"/>
      <c r="E376" s="195"/>
      <c r="F376" s="195"/>
      <c r="G376" s="195"/>
      <c r="H376" s="195"/>
      <c r="I376" s="195"/>
      <c r="J376" s="195"/>
    </row>
    <row r="377" spans="2:10" s="21" customFormat="1" ht="13.7" customHeight="1" x14ac:dyDescent="0.2">
      <c r="B377" s="195"/>
      <c r="C377" s="195"/>
      <c r="D377" s="195"/>
      <c r="E377" s="195"/>
      <c r="F377" s="195"/>
      <c r="G377" s="195"/>
      <c r="H377" s="195"/>
      <c r="I377" s="195"/>
      <c r="J377" s="195"/>
    </row>
    <row r="378" spans="2:10" s="21" customFormat="1" ht="13.7" customHeight="1" x14ac:dyDescent="0.2">
      <c r="B378" s="195"/>
      <c r="C378" s="195"/>
      <c r="D378" s="195"/>
      <c r="E378" s="195"/>
      <c r="F378" s="195"/>
      <c r="G378" s="195"/>
      <c r="H378" s="195"/>
      <c r="I378" s="195"/>
      <c r="J378" s="195"/>
    </row>
    <row r="379" spans="2:10" s="21" customFormat="1" ht="13.7" customHeight="1" x14ac:dyDescent="0.2">
      <c r="B379" s="195"/>
      <c r="C379" s="195"/>
      <c r="D379" s="195"/>
      <c r="E379" s="195"/>
      <c r="F379" s="195"/>
      <c r="G379" s="195"/>
      <c r="H379" s="195"/>
      <c r="I379" s="195"/>
      <c r="J379" s="195"/>
    </row>
    <row r="380" spans="2:10" s="21" customFormat="1" ht="13.7" customHeight="1" x14ac:dyDescent="0.2">
      <c r="B380" s="195"/>
      <c r="C380" s="195"/>
      <c r="D380" s="195"/>
      <c r="E380" s="195"/>
      <c r="F380" s="195"/>
      <c r="G380" s="195"/>
      <c r="H380" s="195"/>
      <c r="I380" s="195"/>
      <c r="J380" s="195"/>
    </row>
    <row r="381" spans="2:10" s="21" customFormat="1" ht="13.7" customHeight="1" x14ac:dyDescent="0.2">
      <c r="B381" s="195"/>
      <c r="C381" s="195"/>
      <c r="D381" s="195"/>
      <c r="E381" s="195"/>
      <c r="F381" s="195"/>
      <c r="G381" s="195"/>
      <c r="H381" s="195"/>
      <c r="I381" s="195"/>
      <c r="J381" s="195"/>
    </row>
    <row r="382" spans="2:10" s="21" customFormat="1" ht="13.7" customHeight="1" x14ac:dyDescent="0.2">
      <c r="B382" s="195"/>
      <c r="C382" s="195"/>
      <c r="D382" s="195"/>
      <c r="E382" s="195"/>
      <c r="F382" s="195"/>
      <c r="G382" s="195"/>
      <c r="H382" s="195"/>
      <c r="I382" s="195"/>
      <c r="J382" s="195"/>
    </row>
    <row r="383" spans="2:10" s="21" customFormat="1" ht="13.7" customHeight="1" x14ac:dyDescent="0.2">
      <c r="B383" s="195"/>
      <c r="C383" s="195"/>
      <c r="D383" s="195"/>
      <c r="E383" s="195"/>
      <c r="F383" s="195"/>
      <c r="G383" s="195"/>
      <c r="H383" s="195"/>
      <c r="I383" s="195"/>
      <c r="J383" s="195"/>
    </row>
    <row r="384" spans="2:10" s="21" customFormat="1" ht="13.7" customHeight="1" x14ac:dyDescent="0.2">
      <c r="B384" s="195"/>
      <c r="C384" s="195"/>
      <c r="D384" s="195"/>
      <c r="E384" s="195"/>
      <c r="F384" s="195"/>
      <c r="G384" s="195"/>
      <c r="H384" s="195"/>
      <c r="I384" s="195"/>
      <c r="J384" s="195"/>
    </row>
    <row r="385" spans="2:10" s="21" customFormat="1" ht="13.7" customHeight="1" x14ac:dyDescent="0.2">
      <c r="B385" s="195"/>
      <c r="C385" s="195"/>
      <c r="D385" s="195"/>
      <c r="E385" s="195"/>
      <c r="F385" s="195"/>
      <c r="G385" s="195"/>
      <c r="H385" s="195"/>
      <c r="I385" s="195"/>
      <c r="J385" s="195"/>
    </row>
    <row r="386" spans="2:10" s="21" customFormat="1" ht="13.7" customHeight="1" x14ac:dyDescent="0.2">
      <c r="B386" s="195"/>
      <c r="C386" s="195"/>
      <c r="D386" s="195"/>
      <c r="E386" s="195"/>
      <c r="F386" s="195"/>
      <c r="G386" s="195"/>
      <c r="H386" s="195"/>
      <c r="I386" s="195"/>
      <c r="J386" s="195"/>
    </row>
    <row r="387" spans="2:10" s="21" customFormat="1" ht="13.7" customHeight="1" x14ac:dyDescent="0.2">
      <c r="B387" s="195"/>
      <c r="C387" s="195"/>
      <c r="D387" s="195"/>
      <c r="E387" s="195"/>
      <c r="F387" s="195"/>
      <c r="G387" s="195"/>
      <c r="H387" s="195"/>
      <c r="I387" s="195"/>
      <c r="J387" s="195"/>
    </row>
    <row r="388" spans="2:10" s="21" customFormat="1" ht="13.7" customHeight="1" x14ac:dyDescent="0.2">
      <c r="B388" s="195"/>
      <c r="C388" s="195"/>
      <c r="D388" s="195"/>
      <c r="E388" s="195"/>
      <c r="F388" s="195"/>
      <c r="G388" s="195"/>
      <c r="H388" s="195"/>
      <c r="I388" s="195"/>
      <c r="J388" s="195"/>
    </row>
    <row r="389" spans="2:10" s="21" customFormat="1" ht="13.7" customHeight="1" x14ac:dyDescent="0.2">
      <c r="B389" s="195"/>
      <c r="C389" s="195"/>
      <c r="D389" s="195"/>
      <c r="E389" s="195"/>
      <c r="F389" s="195"/>
      <c r="G389" s="195"/>
      <c r="H389" s="195"/>
      <c r="I389" s="195"/>
      <c r="J389" s="195"/>
    </row>
    <row r="390" spans="2:10" s="21" customFormat="1" ht="13.7" customHeight="1" x14ac:dyDescent="0.2">
      <c r="B390" s="195"/>
      <c r="C390" s="195"/>
      <c r="D390" s="195"/>
      <c r="E390" s="195"/>
      <c r="F390" s="195"/>
      <c r="G390" s="195"/>
      <c r="H390" s="195"/>
      <c r="I390" s="195"/>
      <c r="J390" s="195"/>
    </row>
    <row r="391" spans="2:10" s="21" customFormat="1" ht="13.7" customHeight="1" x14ac:dyDescent="0.2">
      <c r="B391" s="195"/>
      <c r="C391" s="195"/>
      <c r="D391" s="195"/>
      <c r="E391" s="195"/>
      <c r="F391" s="195"/>
      <c r="G391" s="195"/>
      <c r="H391" s="195"/>
      <c r="I391" s="195"/>
      <c r="J391" s="195"/>
    </row>
    <row r="392" spans="2:10" s="21" customFormat="1" ht="13.7" customHeight="1" x14ac:dyDescent="0.2">
      <c r="B392" s="195"/>
      <c r="C392" s="195"/>
      <c r="D392" s="195"/>
      <c r="E392" s="195"/>
      <c r="F392" s="195"/>
      <c r="G392" s="195"/>
      <c r="H392" s="195"/>
      <c r="I392" s="195"/>
      <c r="J392" s="195"/>
    </row>
  </sheetData>
  <customSheetViews>
    <customSheetView guid="{EDC1BD6E-863A-4FC6-A3A9-F32079F4F0C1}">
      <selection activeCell="N36" sqref="N36"/>
      <pageMargins left="0" right="0" top="0" bottom="0" header="0" footer="0"/>
    </customSheetView>
  </customSheetViews>
  <mergeCells count="10">
    <mergeCell ref="B4:J4"/>
    <mergeCell ref="B5:J5"/>
    <mergeCell ref="B7:J7"/>
    <mergeCell ref="B8:J8"/>
    <mergeCell ref="B10:J10"/>
    <mergeCell ref="B12:J12"/>
    <mergeCell ref="B13:J13"/>
    <mergeCell ref="B15:J15"/>
    <mergeCell ref="B16:J16"/>
    <mergeCell ref="B17:J17"/>
  </mergeCells>
  <pageMargins left="0.70866141732283472" right="0.70866141732283472" top="0.74803149606299213" bottom="0.74803149606299213" header="0.31496062992125984" footer="0.31496062992125984"/>
  <pageSetup paperSize="9" scale="99" fitToHeight="0" orientation="portrait" verticalDpi="0" r:id="rId1"/>
  <headerFooter>
    <oddFooter>&amp;RPage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5">
    <pageSetUpPr fitToPage="1"/>
  </sheetPr>
  <dimension ref="A1:G47"/>
  <sheetViews>
    <sheetView showGridLines="0" zoomScaleNormal="100" workbookViewId="0">
      <selection activeCell="C33" sqref="C33:E33"/>
    </sheetView>
  </sheetViews>
  <sheetFormatPr defaultColWidth="9.140625" defaultRowHeight="13.7" customHeight="1" x14ac:dyDescent="0.2"/>
  <cols>
    <col min="1" max="1" width="1.140625" style="38" customWidth="1"/>
    <col min="2" max="2" width="62.140625" style="21" customWidth="1"/>
    <col min="3" max="3" width="11.42578125" style="21" customWidth="1"/>
    <col min="4" max="4" width="1.140625" style="34" customWidth="1"/>
    <col min="5" max="5" width="11.42578125" style="21" customWidth="1"/>
    <col min="6" max="16384" width="9.140625" style="21"/>
  </cols>
  <sheetData>
    <row r="1" spans="1:6" s="313" customFormat="1" ht="13.7" customHeight="1" x14ac:dyDescent="0.2">
      <c r="A1" s="350" t="s">
        <v>1310</v>
      </c>
      <c r="B1" s="351"/>
      <c r="C1" s="351"/>
      <c r="D1" s="351"/>
      <c r="E1" s="351"/>
    </row>
    <row r="2" spans="1:6" s="313" customFormat="1" ht="13.7" customHeight="1" x14ac:dyDescent="0.2">
      <c r="A2" s="205"/>
      <c r="D2" s="204"/>
    </row>
    <row r="3" spans="1:6" ht="13.7" customHeight="1" x14ac:dyDescent="0.2">
      <c r="A3" s="205">
        <f>ROUNDDOWN('Pension costs'!A3,0)+1</f>
        <v>10</v>
      </c>
      <c r="B3" s="316" t="str">
        <f>"Note "&amp;A3&amp; " Operating leases (Group)"</f>
        <v>Note 10 Operating leases (Group)</v>
      </c>
      <c r="C3" s="313"/>
      <c r="D3" s="204"/>
      <c r="E3" s="313"/>
      <c r="F3" s="313"/>
    </row>
    <row r="4" spans="1:6" ht="13.7" customHeight="1" x14ac:dyDescent="0.2">
      <c r="A4" s="205"/>
      <c r="B4" s="316"/>
      <c r="C4" s="313"/>
      <c r="D4" s="204"/>
      <c r="E4" s="313"/>
      <c r="F4" s="313"/>
    </row>
    <row r="5" spans="1:6" ht="13.7" customHeight="1" x14ac:dyDescent="0.2">
      <c r="A5" s="205">
        <f>A3+0.1</f>
        <v>10.1</v>
      </c>
      <c r="B5" s="316" t="str">
        <f>"Note "&amp;A5&amp;" "&amp;SelectedFT&amp;" as a lessor"</f>
        <v>Note 10.1 Moorfields Eye Hospital NHS Foundation Trust as a lessor</v>
      </c>
      <c r="C5" s="222"/>
      <c r="D5" s="2"/>
      <c r="E5" s="222"/>
      <c r="F5" s="313"/>
    </row>
    <row r="6" spans="1:6" ht="27.75" customHeight="1" x14ac:dyDescent="0.2">
      <c r="A6" s="205"/>
      <c r="B6" s="445" t="str">
        <f>"This note discloses income generated in operating lease agreements where " &amp; SelectedFT &amp; " is the lessor."</f>
        <v>This note discloses income generated in operating lease agreements where Moorfields Eye Hospital NHS Foundation Trust is the lessor.</v>
      </c>
      <c r="C6" s="445"/>
      <c r="D6" s="445"/>
      <c r="E6" s="445"/>
      <c r="F6" s="313"/>
    </row>
    <row r="7" spans="1:6" ht="13.7" customHeight="1" x14ac:dyDescent="0.2">
      <c r="A7" s="205"/>
      <c r="B7" s="445" t="s">
        <v>1347</v>
      </c>
      <c r="C7" s="445"/>
      <c r="D7" s="445"/>
      <c r="E7" s="445"/>
      <c r="F7" s="313"/>
    </row>
    <row r="8" spans="1:6" ht="13.7" customHeight="1" x14ac:dyDescent="0.25">
      <c r="A8" s="205"/>
      <c r="B8" s="19"/>
      <c r="C8" s="458"/>
      <c r="D8" s="458"/>
      <c r="E8" s="458"/>
      <c r="F8" s="313"/>
    </row>
    <row r="9" spans="1:6" ht="13.7" customHeight="1" x14ac:dyDescent="0.2">
      <c r="A9" s="205"/>
      <c r="B9" s="13"/>
      <c r="C9" s="290" t="str">
        <f>CurrentFY</f>
        <v>2021/22</v>
      </c>
      <c r="D9" s="219"/>
      <c r="E9" s="290" t="str">
        <f>ComparativeFY</f>
        <v>2020/21</v>
      </c>
      <c r="F9" s="222"/>
    </row>
    <row r="10" spans="1:6" ht="13.7" customHeight="1" x14ac:dyDescent="0.2">
      <c r="A10" s="205"/>
      <c r="B10" s="13"/>
      <c r="C10" s="290" t="s">
        <v>590</v>
      </c>
      <c r="D10" s="219"/>
      <c r="E10" s="290" t="s">
        <v>590</v>
      </c>
      <c r="F10" s="222"/>
    </row>
    <row r="11" spans="1:6" ht="13.7" customHeight="1" x14ac:dyDescent="0.2">
      <c r="A11" s="205"/>
      <c r="B11" s="316" t="s">
        <v>902</v>
      </c>
      <c r="C11" s="222"/>
      <c r="D11" s="219"/>
      <c r="E11" s="222"/>
      <c r="F11" s="222"/>
    </row>
    <row r="12" spans="1:6" ht="13.7" customHeight="1" x14ac:dyDescent="0.2">
      <c r="A12" s="205"/>
      <c r="B12" s="327" t="s">
        <v>903</v>
      </c>
      <c r="C12" s="219">
        <v>426</v>
      </c>
      <c r="D12" s="219"/>
      <c r="E12" s="219">
        <v>371</v>
      </c>
      <c r="F12" s="222"/>
    </row>
    <row r="13" spans="1:6" ht="13.7" hidden="1" customHeight="1" x14ac:dyDescent="0.2">
      <c r="A13" s="205"/>
      <c r="B13" s="327" t="s">
        <v>904</v>
      </c>
      <c r="C13" s="219">
        <v>0</v>
      </c>
      <c r="D13" s="219"/>
      <c r="E13" s="219">
        <v>0</v>
      </c>
      <c r="F13" s="222"/>
    </row>
    <row r="14" spans="1:6" ht="13.7" hidden="1" customHeight="1" x14ac:dyDescent="0.2">
      <c r="A14" s="205"/>
      <c r="B14" s="327" t="s">
        <v>860</v>
      </c>
      <c r="C14" s="219">
        <v>0</v>
      </c>
      <c r="D14" s="219"/>
      <c r="E14" s="219">
        <v>0</v>
      </c>
      <c r="F14" s="222"/>
    </row>
    <row r="15" spans="1:6" ht="13.7" customHeight="1" thickBot="1" x14ac:dyDescent="0.25">
      <c r="A15" s="205"/>
      <c r="B15" s="289" t="s">
        <v>589</v>
      </c>
      <c r="C15" s="206">
        <f>SUM(C12:C14)</f>
        <v>426</v>
      </c>
      <c r="D15" s="219"/>
      <c r="E15" s="206">
        <f>SUM(E12:E14)</f>
        <v>371</v>
      </c>
      <c r="F15" s="222"/>
    </row>
    <row r="16" spans="1:6" ht="13.7" customHeight="1" thickTop="1" x14ac:dyDescent="0.25">
      <c r="A16" s="205"/>
      <c r="B16" s="18"/>
      <c r="C16" s="458"/>
      <c r="D16" s="458"/>
      <c r="E16" s="458"/>
      <c r="F16" s="222"/>
    </row>
    <row r="17" spans="1:7" ht="24" x14ac:dyDescent="0.2">
      <c r="A17" s="205"/>
      <c r="B17" s="313"/>
      <c r="C17" s="93" t="str">
        <f>TEXT(CurrentYearEnd, "d mmmm yyyy")</f>
        <v>31 March 2022</v>
      </c>
      <c r="D17" s="219"/>
      <c r="E17" s="290" t="str">
        <f>TEXT(ComparativeYearEnd, "d mmmm yyyy")</f>
        <v>31 March 2021</v>
      </c>
      <c r="F17" s="222"/>
    </row>
    <row r="18" spans="1:7" ht="13.7" customHeight="1" x14ac:dyDescent="0.2">
      <c r="A18" s="205"/>
      <c r="B18" s="313"/>
      <c r="C18" s="290" t="s">
        <v>590</v>
      </c>
      <c r="D18" s="219"/>
      <c r="E18" s="290" t="s">
        <v>590</v>
      </c>
      <c r="F18" s="222"/>
    </row>
    <row r="19" spans="1:7" ht="13.7" customHeight="1" x14ac:dyDescent="0.2">
      <c r="A19" s="205"/>
      <c r="B19" s="316" t="s">
        <v>905</v>
      </c>
      <c r="C19" s="24"/>
      <c r="D19" s="219"/>
      <c r="E19" s="24"/>
      <c r="F19" s="222"/>
      <c r="G19" s="313"/>
    </row>
    <row r="20" spans="1:7" ht="13.7" customHeight="1" x14ac:dyDescent="0.2">
      <c r="A20" s="205"/>
      <c r="B20" s="327" t="s">
        <v>906</v>
      </c>
      <c r="C20" s="219">
        <v>436</v>
      </c>
      <c r="D20" s="219"/>
      <c r="E20" s="219">
        <v>371</v>
      </c>
      <c r="F20" s="222"/>
      <c r="G20" s="313"/>
    </row>
    <row r="21" spans="1:7" ht="13.7" customHeight="1" x14ac:dyDescent="0.2">
      <c r="A21" s="205"/>
      <c r="B21" s="327" t="s">
        <v>907</v>
      </c>
      <c r="C21" s="219">
        <v>1589</v>
      </c>
      <c r="D21" s="219"/>
      <c r="E21" s="219">
        <v>1680</v>
      </c>
      <c r="F21" s="222"/>
      <c r="G21" s="313"/>
    </row>
    <row r="22" spans="1:7" ht="13.7" hidden="1" customHeight="1" x14ac:dyDescent="0.2">
      <c r="A22" s="205"/>
      <c r="B22" s="327" t="s">
        <v>908</v>
      </c>
      <c r="C22" s="219">
        <v>0</v>
      </c>
      <c r="D22" s="219"/>
      <c r="E22" s="219">
        <v>0</v>
      </c>
      <c r="F22" s="222"/>
      <c r="G22" s="313"/>
    </row>
    <row r="23" spans="1:7" ht="13.7" customHeight="1" thickBot="1" x14ac:dyDescent="0.25">
      <c r="A23" s="205"/>
      <c r="B23" s="289" t="s">
        <v>589</v>
      </c>
      <c r="C23" s="206">
        <f>SUM(C20:C22)</f>
        <v>2025</v>
      </c>
      <c r="D23" s="219"/>
      <c r="E23" s="206">
        <f>SUM(E20:E22)</f>
        <v>2051</v>
      </c>
      <c r="F23" s="222"/>
      <c r="G23" s="313"/>
    </row>
    <row r="24" spans="1:7" ht="13.7" customHeight="1" thickTop="1" x14ac:dyDescent="0.2">
      <c r="A24" s="205"/>
      <c r="B24" s="316"/>
      <c r="C24" s="222"/>
      <c r="D24" s="219"/>
      <c r="E24" s="222"/>
      <c r="F24" s="222"/>
      <c r="G24" s="313"/>
    </row>
    <row r="25" spans="1:7" ht="13.7" customHeight="1" x14ac:dyDescent="0.2">
      <c r="A25" s="205"/>
      <c r="B25" s="13"/>
      <c r="C25" s="222"/>
      <c r="D25" s="219"/>
      <c r="E25" s="222"/>
      <c r="F25" s="222"/>
      <c r="G25" s="313"/>
    </row>
    <row r="26" spans="1:7" s="16" customFormat="1" ht="13.7" customHeight="1" x14ac:dyDescent="0.2">
      <c r="A26" s="205">
        <f>A5+0.1</f>
        <v>10.199999999999999</v>
      </c>
      <c r="B26" s="316" t="str">
        <f>"Note "&amp;A26 &amp; " " &amp;SelectedFT &amp;" as a lessee"</f>
        <v>Note 10.2 Moorfields Eye Hospital NHS Foundation Trust as a lessee</v>
      </c>
      <c r="C26" s="313"/>
      <c r="D26" s="204"/>
      <c r="E26" s="313"/>
      <c r="F26" s="313"/>
      <c r="G26" s="313"/>
    </row>
    <row r="27" spans="1:7" ht="27" customHeight="1" x14ac:dyDescent="0.2">
      <c r="A27" s="205"/>
      <c r="B27" s="466" t="str">
        <f>"This note discloses costs and commitments incurred in operating lease arrangements where "&amp;SelectedFT &amp; " is the lessee."</f>
        <v>This note discloses costs and commitments incurred in operating lease arrangements where Moorfields Eye Hospital NHS Foundation Trust is the lessee.</v>
      </c>
      <c r="C27" s="466"/>
      <c r="D27" s="466"/>
      <c r="E27" s="466"/>
      <c r="F27" s="313"/>
      <c r="G27" s="313"/>
    </row>
    <row r="28" spans="1:7" ht="45" customHeight="1" x14ac:dyDescent="0.2">
      <c r="A28" s="205"/>
      <c r="B28" s="466" t="s">
        <v>1348</v>
      </c>
      <c r="C28" s="466"/>
      <c r="D28" s="466"/>
      <c r="E28" s="466"/>
      <c r="F28" s="313"/>
      <c r="G28" s="313"/>
    </row>
    <row r="29" spans="1:7" ht="13.7" customHeight="1" x14ac:dyDescent="0.2">
      <c r="A29" s="205"/>
      <c r="B29" s="467"/>
      <c r="C29" s="467"/>
      <c r="D29" s="467"/>
      <c r="E29" s="467"/>
      <c r="F29" s="313"/>
      <c r="G29" s="313"/>
    </row>
    <row r="30" spans="1:7" ht="13.7" customHeight="1" x14ac:dyDescent="0.2">
      <c r="A30" s="205"/>
      <c r="B30" s="467"/>
      <c r="C30" s="467"/>
      <c r="D30" s="467"/>
      <c r="E30" s="467"/>
      <c r="F30" s="313"/>
      <c r="G30" s="313"/>
    </row>
    <row r="31" spans="1:7" ht="13.7" customHeight="1" x14ac:dyDescent="0.2">
      <c r="A31" s="205"/>
      <c r="B31" s="467"/>
      <c r="C31" s="467"/>
      <c r="D31" s="467"/>
      <c r="E31" s="467"/>
      <c r="F31" s="313"/>
      <c r="G31" s="313"/>
    </row>
    <row r="32" spans="1:7" s="16" customFormat="1" ht="13.7" customHeight="1" x14ac:dyDescent="0.2">
      <c r="A32" s="205"/>
      <c r="B32" s="316"/>
      <c r="C32" s="290" t="str">
        <f>CurrentFY</f>
        <v>2021/22</v>
      </c>
      <c r="D32" s="290"/>
      <c r="E32" s="290" t="str">
        <f>ComparativeFY</f>
        <v>2020/21</v>
      </c>
      <c r="F32" s="313"/>
      <c r="G32" s="313"/>
    </row>
    <row r="33" spans="1:7" s="16" customFormat="1" ht="13.7" customHeight="1" x14ac:dyDescent="0.2">
      <c r="A33" s="205"/>
      <c r="B33" s="316"/>
      <c r="C33" s="290" t="s">
        <v>590</v>
      </c>
      <c r="D33" s="290"/>
      <c r="E33" s="290" t="s">
        <v>590</v>
      </c>
      <c r="F33" s="313"/>
      <c r="G33" s="313"/>
    </row>
    <row r="34" spans="1:7" ht="13.7" customHeight="1" x14ac:dyDescent="0.2">
      <c r="A34" s="205"/>
      <c r="B34" s="316" t="s">
        <v>909</v>
      </c>
      <c r="C34" s="316"/>
      <c r="D34" s="316"/>
      <c r="E34" s="316"/>
      <c r="F34" s="313"/>
      <c r="G34" s="313"/>
    </row>
    <row r="35" spans="1:7" s="16" customFormat="1" ht="13.7" customHeight="1" x14ac:dyDescent="0.2">
      <c r="A35" s="205"/>
      <c r="B35" s="327" t="s">
        <v>910</v>
      </c>
      <c r="C35" s="219">
        <v>5423.5657929404297</v>
      </c>
      <c r="D35" s="219"/>
      <c r="E35" s="219">
        <v>5555</v>
      </c>
      <c r="F35" s="313"/>
      <c r="G35" s="313"/>
    </row>
    <row r="36" spans="1:7" s="16" customFormat="1" ht="13.7" hidden="1" customHeight="1" x14ac:dyDescent="0.2">
      <c r="A36" s="205"/>
      <c r="B36" s="327" t="s">
        <v>911</v>
      </c>
      <c r="C36" s="219">
        <v>0</v>
      </c>
      <c r="D36" s="219"/>
      <c r="E36" s="219">
        <v>0</v>
      </c>
      <c r="F36" s="313"/>
      <c r="G36" s="313"/>
    </row>
    <row r="37" spans="1:7" s="16" customFormat="1" ht="13.7" hidden="1" customHeight="1" x14ac:dyDescent="0.2">
      <c r="A37" s="205"/>
      <c r="B37" s="327" t="s">
        <v>912</v>
      </c>
      <c r="C37" s="219">
        <v>0</v>
      </c>
      <c r="D37" s="219"/>
      <c r="E37" s="219">
        <v>0</v>
      </c>
      <c r="F37" s="313"/>
      <c r="G37" s="313"/>
    </row>
    <row r="38" spans="1:7" s="16" customFormat="1" ht="13.7" customHeight="1" thickBot="1" x14ac:dyDescent="0.25">
      <c r="A38" s="205"/>
      <c r="B38" s="289" t="s">
        <v>589</v>
      </c>
      <c r="C38" s="206">
        <f>SUM(C35:C37)</f>
        <v>5423.5657929404297</v>
      </c>
      <c r="D38" s="219"/>
      <c r="E38" s="206">
        <f>SUM(E35:E37)</f>
        <v>5555</v>
      </c>
      <c r="F38" s="313"/>
      <c r="G38" s="313"/>
    </row>
    <row r="39" spans="1:7" s="16" customFormat="1" ht="13.7" customHeight="1" thickTop="1" x14ac:dyDescent="0.25">
      <c r="A39" s="205"/>
      <c r="B39" s="313"/>
      <c r="C39" s="458"/>
      <c r="D39" s="458"/>
      <c r="E39" s="458"/>
      <c r="F39" s="313"/>
      <c r="G39" s="313"/>
    </row>
    <row r="40" spans="1:7" s="16" customFormat="1" ht="24" x14ac:dyDescent="0.2">
      <c r="A40" s="205"/>
      <c r="B40" s="316"/>
      <c r="C40" s="93" t="str">
        <f>TEXT(CurrentYearEnd, "d mmmm yyyy")</f>
        <v>31 March 2022</v>
      </c>
      <c r="D40" s="219"/>
      <c r="E40" s="290" t="str">
        <f>TEXT(ComparativeYearEnd, "d mmmm yyyy")</f>
        <v>31 March 2021</v>
      </c>
      <c r="F40" s="313"/>
      <c r="G40" s="313"/>
    </row>
    <row r="41" spans="1:7" s="16" customFormat="1" ht="13.7" customHeight="1" x14ac:dyDescent="0.2">
      <c r="A41" s="205"/>
      <c r="B41" s="316"/>
      <c r="C41" s="290" t="s">
        <v>590</v>
      </c>
      <c r="D41" s="219"/>
      <c r="E41" s="290" t="s">
        <v>590</v>
      </c>
      <c r="F41" s="313"/>
      <c r="G41" s="313"/>
    </row>
    <row r="42" spans="1:7" s="16" customFormat="1" ht="13.7" customHeight="1" x14ac:dyDescent="0.2">
      <c r="A42" s="205"/>
      <c r="B42" s="316" t="s">
        <v>913</v>
      </c>
      <c r="C42" s="316"/>
      <c r="D42" s="219"/>
      <c r="E42" s="316"/>
      <c r="F42" s="313"/>
      <c r="G42" s="313"/>
    </row>
    <row r="43" spans="1:7" s="16" customFormat="1" ht="13.7" customHeight="1" x14ac:dyDescent="0.2">
      <c r="A43" s="205"/>
      <c r="B43" s="327" t="s">
        <v>906</v>
      </c>
      <c r="C43" s="219">
        <v>6239.5428162737626</v>
      </c>
      <c r="D43" s="219"/>
      <c r="E43" s="219">
        <v>5555</v>
      </c>
      <c r="F43" s="313"/>
      <c r="G43" s="313"/>
    </row>
    <row r="44" spans="1:7" s="16" customFormat="1" ht="13.7" customHeight="1" x14ac:dyDescent="0.2">
      <c r="A44" s="205"/>
      <c r="B44" s="327" t="s">
        <v>907</v>
      </c>
      <c r="C44" s="219">
        <v>24948.63298509505</v>
      </c>
      <c r="D44" s="219"/>
      <c r="E44" s="219">
        <v>20845</v>
      </c>
      <c r="F44" s="313"/>
      <c r="G44" s="313"/>
    </row>
    <row r="45" spans="1:7" s="16" customFormat="1" ht="13.7" customHeight="1" x14ac:dyDescent="0.2">
      <c r="A45" s="205"/>
      <c r="B45" s="327" t="s">
        <v>908</v>
      </c>
      <c r="C45" s="219">
        <v>8352.0493333333325</v>
      </c>
      <c r="D45" s="219"/>
      <c r="E45" s="219">
        <v>11389</v>
      </c>
      <c r="F45" s="313"/>
      <c r="G45" s="313"/>
    </row>
    <row r="46" spans="1:7" s="16" customFormat="1" ht="13.7" customHeight="1" thickBot="1" x14ac:dyDescent="0.25">
      <c r="A46" s="205"/>
      <c r="B46" s="289" t="s">
        <v>589</v>
      </c>
      <c r="C46" s="206">
        <f>SUM(C43:C45)</f>
        <v>39540.225134702145</v>
      </c>
      <c r="D46" s="219"/>
      <c r="E46" s="206">
        <f>SUM(E43:E45)</f>
        <v>37789</v>
      </c>
      <c r="F46" s="313"/>
      <c r="G46" s="313"/>
    </row>
    <row r="47" spans="1:7" s="16" customFormat="1" ht="13.7" customHeight="1" thickTop="1" x14ac:dyDescent="0.2">
      <c r="A47" s="205"/>
      <c r="B47" s="327" t="s">
        <v>914</v>
      </c>
      <c r="C47" s="219">
        <v>0</v>
      </c>
      <c r="D47" s="219"/>
      <c r="E47" s="219">
        <v>0</v>
      </c>
      <c r="F47" s="313"/>
      <c r="G47" s="313"/>
    </row>
  </sheetData>
  <customSheetViews>
    <customSheetView guid="{EDC1BD6E-863A-4FC6-A3A9-F32079F4F0C1}">
      <selection activeCell="N34" sqref="N34"/>
      <pageMargins left="0" right="0" top="0" bottom="0" header="0" footer="0"/>
      <pageSetup paperSize="9" orientation="portrait" verticalDpi="0" r:id="rId1"/>
    </customSheetView>
  </customSheetViews>
  <mergeCells count="10">
    <mergeCell ref="B6:E6"/>
    <mergeCell ref="B27:E27"/>
    <mergeCell ref="C39:E39"/>
    <mergeCell ref="C8:E8"/>
    <mergeCell ref="C16:E16"/>
    <mergeCell ref="B7:E7"/>
    <mergeCell ref="B28:E28"/>
    <mergeCell ref="B29:E29"/>
    <mergeCell ref="B30:E30"/>
    <mergeCell ref="B31:E31"/>
  </mergeCells>
  <pageMargins left="0.70866141732283472" right="0.70866141732283472" top="0.74803149606299213" bottom="0.74803149606299213" header="0.31496062992125984" footer="0.31496062992125984"/>
  <pageSetup paperSize="9" scale="99" fitToHeight="0" orientation="portrait" verticalDpi="0" r:id="rId2"/>
  <headerFooter>
    <oddFooter>&amp;RPage &amp;P of &amp;N</oddFooter>
  </headerFooter>
  <ignoredErrors>
    <ignoredError sqref="C10:E10 C18:E18 C41:E41 C33:E33"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pageSetUpPr fitToPage="1"/>
  </sheetPr>
  <dimension ref="A1:F55"/>
  <sheetViews>
    <sheetView showGridLines="0" zoomScaleNormal="100" workbookViewId="0">
      <selection activeCell="I14" sqref="I14"/>
    </sheetView>
  </sheetViews>
  <sheetFormatPr defaultColWidth="9.140625" defaultRowHeight="14.1" customHeight="1" x14ac:dyDescent="0.2"/>
  <cols>
    <col min="1" max="1" width="1.140625" style="38" customWidth="1"/>
    <col min="2" max="2" width="62.140625" style="16" customWidth="1"/>
    <col min="3" max="3" width="11.42578125" style="16" customWidth="1"/>
    <col min="4" max="4" width="1.140625" style="45" customWidth="1"/>
    <col min="5" max="5" width="11.42578125" style="16" customWidth="1"/>
    <col min="6" max="16384" width="9.140625" style="16"/>
  </cols>
  <sheetData>
    <row r="1" spans="1:6" s="313" customFormat="1" ht="14.1" customHeight="1" x14ac:dyDescent="0.2">
      <c r="A1" s="350" t="s">
        <v>1310</v>
      </c>
      <c r="B1" s="351"/>
      <c r="C1" s="351"/>
      <c r="D1" s="351"/>
      <c r="E1" s="351"/>
    </row>
    <row r="2" spans="1:6" s="313" customFormat="1" ht="14.1" customHeight="1" x14ac:dyDescent="0.2">
      <c r="A2" s="205"/>
      <c r="D2" s="219"/>
    </row>
    <row r="3" spans="1:6" ht="13.7" customHeight="1" x14ac:dyDescent="0.2">
      <c r="A3" s="205">
        <f>ROUNDDOWN('Op lease'!A26,0)+1</f>
        <v>11</v>
      </c>
      <c r="B3" s="316" t="str">
        <f>"Note "&amp;A3 &amp; " Finance income (Group)"</f>
        <v>Note 11 Finance income (Group)</v>
      </c>
      <c r="C3" s="313"/>
      <c r="D3" s="219"/>
      <c r="E3" s="313"/>
      <c r="F3" s="313"/>
    </row>
    <row r="4" spans="1:6" s="128" customFormat="1" ht="13.7" customHeight="1" x14ac:dyDescent="0.2">
      <c r="A4" s="205"/>
      <c r="B4" s="126" t="s">
        <v>915</v>
      </c>
      <c r="C4" s="313"/>
      <c r="D4" s="219"/>
      <c r="E4" s="313"/>
      <c r="F4" s="313"/>
    </row>
    <row r="5" spans="1:6" ht="13.7" customHeight="1" x14ac:dyDescent="0.2">
      <c r="A5" s="205"/>
      <c r="B5" s="313"/>
      <c r="C5" s="290" t="str">
        <f>CurrentFY</f>
        <v>2021/22</v>
      </c>
      <c r="D5" s="219"/>
      <c r="E5" s="290" t="str">
        <f>ComparativeFY</f>
        <v>2020/21</v>
      </c>
      <c r="F5" s="313"/>
    </row>
    <row r="6" spans="1:6" ht="13.7" customHeight="1" x14ac:dyDescent="0.2">
      <c r="A6" s="205"/>
      <c r="B6" s="313"/>
      <c r="C6" s="290" t="s">
        <v>590</v>
      </c>
      <c r="D6" s="219"/>
      <c r="E6" s="290" t="s">
        <v>590</v>
      </c>
      <c r="F6" s="313"/>
    </row>
    <row r="7" spans="1:6" ht="13.7" customHeight="1" x14ac:dyDescent="0.2">
      <c r="A7" s="205"/>
      <c r="B7" s="327" t="s">
        <v>916</v>
      </c>
      <c r="C7" s="219">
        <v>35</v>
      </c>
      <c r="D7" s="219"/>
      <c r="E7" s="219">
        <v>0</v>
      </c>
      <c r="F7" s="313"/>
    </row>
    <row r="8" spans="1:6" ht="13.7" hidden="1" customHeight="1" x14ac:dyDescent="0.2">
      <c r="A8" s="205"/>
      <c r="B8" s="327" t="s">
        <v>917</v>
      </c>
      <c r="C8" s="219">
        <v>0</v>
      </c>
      <c r="D8" s="219"/>
      <c r="E8" s="219">
        <v>0</v>
      </c>
      <c r="F8" s="313"/>
    </row>
    <row r="9" spans="1:6" ht="13.7" hidden="1" customHeight="1" x14ac:dyDescent="0.2">
      <c r="A9" s="205"/>
      <c r="B9" s="327" t="s">
        <v>918</v>
      </c>
      <c r="C9" s="219">
        <v>0</v>
      </c>
      <c r="D9" s="219"/>
      <c r="E9" s="219">
        <v>0</v>
      </c>
      <c r="F9" s="313"/>
    </row>
    <row r="10" spans="1:6" ht="13.7" hidden="1" customHeight="1" x14ac:dyDescent="0.2">
      <c r="A10" s="205"/>
      <c r="B10" s="327" t="s">
        <v>919</v>
      </c>
      <c r="C10" s="219">
        <v>0</v>
      </c>
      <c r="D10" s="219"/>
      <c r="E10" s="219">
        <v>0</v>
      </c>
      <c r="F10" s="313"/>
    </row>
    <row r="11" spans="1:6" s="169" customFormat="1" ht="13.7" hidden="1" customHeight="1" x14ac:dyDescent="0.2">
      <c r="A11" s="205"/>
      <c r="B11" s="327" t="s">
        <v>920</v>
      </c>
      <c r="C11" s="219">
        <v>0</v>
      </c>
      <c r="D11" s="219"/>
      <c r="E11" s="219">
        <v>0</v>
      </c>
      <c r="F11" s="313"/>
    </row>
    <row r="12" spans="1:6" ht="13.7" customHeight="1" thickBot="1" x14ac:dyDescent="0.25">
      <c r="A12" s="205"/>
      <c r="B12" s="289" t="s">
        <v>921</v>
      </c>
      <c r="C12" s="206">
        <f>SUM(C7:C11)</f>
        <v>35</v>
      </c>
      <c r="D12" s="219"/>
      <c r="E12" s="206">
        <f>SUM(E7:E11)</f>
        <v>0</v>
      </c>
      <c r="F12" s="313"/>
    </row>
    <row r="13" spans="1:6" ht="13.7" customHeight="1" thickTop="1" x14ac:dyDescent="0.2">
      <c r="A13" s="205"/>
      <c r="B13" s="313"/>
      <c r="C13" s="313"/>
      <c r="D13" s="219"/>
      <c r="E13" s="313"/>
      <c r="F13" s="313"/>
    </row>
    <row r="14" spans="1:6" ht="13.7" customHeight="1" x14ac:dyDescent="0.2">
      <c r="A14" s="205">
        <f>ROUNDDOWN(A3,0)+1.1</f>
        <v>12.1</v>
      </c>
      <c r="B14" s="316" t="str">
        <f>"Note "&amp; A14 &amp; " Finance expenditure (Group)"</f>
        <v>Note 12.1 Finance expenditure (Group)</v>
      </c>
      <c r="C14" s="313"/>
      <c r="D14" s="219"/>
      <c r="E14" s="313"/>
      <c r="F14" s="313"/>
    </row>
    <row r="15" spans="1:6" s="128" customFormat="1" ht="13.7" customHeight="1" x14ac:dyDescent="0.2">
      <c r="A15" s="205"/>
      <c r="B15" s="126" t="s">
        <v>922</v>
      </c>
      <c r="C15" s="313"/>
      <c r="D15" s="219"/>
      <c r="E15" s="313"/>
      <c r="F15" s="313"/>
    </row>
    <row r="16" spans="1:6" ht="13.7" customHeight="1" x14ac:dyDescent="0.2">
      <c r="A16" s="205"/>
      <c r="B16" s="313"/>
      <c r="C16" s="290" t="str">
        <f>CurrentFY</f>
        <v>2021/22</v>
      </c>
      <c r="D16" s="219"/>
      <c r="E16" s="290" t="str">
        <f>ComparativeFY</f>
        <v>2020/21</v>
      </c>
      <c r="F16" s="313"/>
    </row>
    <row r="17" spans="1:6" ht="13.7" customHeight="1" x14ac:dyDescent="0.2">
      <c r="A17" s="205"/>
      <c r="B17" s="313"/>
      <c r="C17" s="290" t="s">
        <v>590</v>
      </c>
      <c r="D17" s="219"/>
      <c r="E17" s="290" t="s">
        <v>590</v>
      </c>
      <c r="F17" s="313"/>
    </row>
    <row r="18" spans="1:6" ht="13.7" customHeight="1" x14ac:dyDescent="0.2">
      <c r="A18" s="205"/>
      <c r="B18" s="316" t="s">
        <v>923</v>
      </c>
      <c r="C18" s="199"/>
      <c r="D18" s="219"/>
      <c r="E18" s="199"/>
      <c r="F18" s="313"/>
    </row>
    <row r="19" spans="1:6" ht="13.7" customHeight="1" x14ac:dyDescent="0.2">
      <c r="A19" s="205"/>
      <c r="B19" s="327" t="s">
        <v>924</v>
      </c>
      <c r="C19" s="219">
        <v>973</v>
      </c>
      <c r="D19" s="219"/>
      <c r="E19" s="219">
        <v>1023</v>
      </c>
      <c r="F19" s="314"/>
    </row>
    <row r="20" spans="1:6" ht="13.7" hidden="1" customHeight="1" x14ac:dyDescent="0.2">
      <c r="A20" s="205"/>
      <c r="B20" s="327" t="s">
        <v>925</v>
      </c>
      <c r="C20" s="219">
        <v>0</v>
      </c>
      <c r="D20" s="219"/>
      <c r="E20" s="219">
        <v>0</v>
      </c>
      <c r="F20" s="314"/>
    </row>
    <row r="21" spans="1:6" ht="13.7" hidden="1" customHeight="1" x14ac:dyDescent="0.2">
      <c r="A21" s="205"/>
      <c r="B21" s="327" t="s">
        <v>926</v>
      </c>
      <c r="C21" s="219">
        <v>0</v>
      </c>
      <c r="D21" s="219"/>
      <c r="E21" s="219">
        <v>0</v>
      </c>
      <c r="F21" s="314"/>
    </row>
    <row r="22" spans="1:6" ht="13.7" hidden="1" customHeight="1" x14ac:dyDescent="0.2">
      <c r="A22" s="205"/>
      <c r="B22" s="327" t="s">
        <v>927</v>
      </c>
      <c r="C22" s="219">
        <v>0</v>
      </c>
      <c r="D22" s="219"/>
      <c r="E22" s="219">
        <v>0</v>
      </c>
      <c r="F22" s="314"/>
    </row>
    <row r="23" spans="1:6" ht="13.7" hidden="1" customHeight="1" x14ac:dyDescent="0.2">
      <c r="A23" s="205"/>
      <c r="B23" s="327" t="s">
        <v>928</v>
      </c>
      <c r="C23" s="219">
        <v>0</v>
      </c>
      <c r="D23" s="219"/>
      <c r="E23" s="219">
        <v>0</v>
      </c>
      <c r="F23" s="314"/>
    </row>
    <row r="24" spans="1:6" ht="13.7" hidden="1" customHeight="1" x14ac:dyDescent="0.2">
      <c r="A24" s="205"/>
      <c r="B24" s="327" t="s">
        <v>929</v>
      </c>
      <c r="C24" s="219">
        <v>0</v>
      </c>
      <c r="D24" s="219"/>
      <c r="E24" s="219">
        <v>0</v>
      </c>
      <c r="F24" s="314"/>
    </row>
    <row r="25" spans="1:6" ht="13.7" hidden="1" customHeight="1" x14ac:dyDescent="0.2">
      <c r="A25" s="205"/>
      <c r="B25" s="327" t="s">
        <v>930</v>
      </c>
      <c r="C25" s="219">
        <v>0</v>
      </c>
      <c r="D25" s="219"/>
      <c r="E25" s="219">
        <v>0</v>
      </c>
      <c r="F25" s="314"/>
    </row>
    <row r="26" spans="1:6" ht="13.7" customHeight="1" thickBot="1" x14ac:dyDescent="0.25">
      <c r="A26" s="205"/>
      <c r="B26" s="289" t="s">
        <v>931</v>
      </c>
      <c r="C26" s="206">
        <f>SUM(C19:C25)</f>
        <v>973</v>
      </c>
      <c r="D26" s="219"/>
      <c r="E26" s="206">
        <f>SUM(E19:E25)</f>
        <v>1023</v>
      </c>
      <c r="F26" s="314"/>
    </row>
    <row r="27" spans="1:6" ht="13.7" customHeight="1" thickTop="1" x14ac:dyDescent="0.2">
      <c r="A27" s="205"/>
      <c r="B27" s="327" t="s">
        <v>932</v>
      </c>
      <c r="C27" s="219">
        <v>-3</v>
      </c>
      <c r="D27" s="219"/>
      <c r="E27" s="219">
        <v>0</v>
      </c>
      <c r="F27" s="313"/>
    </row>
    <row r="28" spans="1:6" s="145" customFormat="1" ht="13.7" hidden="1" customHeight="1" x14ac:dyDescent="0.2">
      <c r="A28" s="205"/>
      <c r="B28" s="327" t="s">
        <v>933</v>
      </c>
      <c r="C28" s="219">
        <v>0</v>
      </c>
      <c r="D28" s="219"/>
      <c r="E28" s="219">
        <v>0</v>
      </c>
      <c r="F28" s="313"/>
    </row>
    <row r="29" spans="1:6" ht="13.7" customHeight="1" thickBot="1" x14ac:dyDescent="0.25">
      <c r="A29" s="205"/>
      <c r="B29" s="289" t="s">
        <v>934</v>
      </c>
      <c r="C29" s="206">
        <f>SUM(C26:C28)</f>
        <v>970</v>
      </c>
      <c r="D29" s="219"/>
      <c r="E29" s="206">
        <f>SUM(E26:E28)</f>
        <v>1023</v>
      </c>
      <c r="F29" s="313"/>
    </row>
    <row r="30" spans="1:6" ht="13.7" customHeight="1" thickTop="1" x14ac:dyDescent="0.2">
      <c r="A30" s="205"/>
      <c r="B30" s="313"/>
      <c r="C30" s="203"/>
      <c r="D30" s="219"/>
      <c r="E30" s="203"/>
      <c r="F30" s="313"/>
    </row>
    <row r="31" spans="1:6" ht="15" x14ac:dyDescent="0.25">
      <c r="A31" s="205">
        <f>A14+0.1</f>
        <v>12.2</v>
      </c>
      <c r="B31" s="289" t="str">
        <f>"Note "&amp; A31 &amp; " The late payment of commercial debts (interest) Act 1998 / Public Contract Regulations 2015 (Group)"</f>
        <v>Note 12.2 The late payment of commercial debts (interest) Act 1998 / Public Contract Regulations 2015 (Group)</v>
      </c>
      <c r="C31" s="225"/>
      <c r="D31" s="225"/>
      <c r="E31" s="225"/>
      <c r="F31" s="313"/>
    </row>
    <row r="32" spans="1:6" ht="14.1" customHeight="1" x14ac:dyDescent="0.2">
      <c r="A32" s="205"/>
      <c r="B32" s="313"/>
      <c r="C32" s="290" t="str">
        <f>CurrentFY</f>
        <v>2021/22</v>
      </c>
      <c r="D32" s="219"/>
      <c r="E32" s="290" t="str">
        <f>ComparativeFY</f>
        <v>2020/21</v>
      </c>
      <c r="F32" s="313"/>
    </row>
    <row r="33" spans="1:6" ht="14.1" customHeight="1" x14ac:dyDescent="0.2">
      <c r="A33" s="205"/>
      <c r="B33" s="313"/>
      <c r="C33" s="290" t="s">
        <v>590</v>
      </c>
      <c r="D33" s="219"/>
      <c r="E33" s="290" t="s">
        <v>590</v>
      </c>
      <c r="F33" s="313"/>
    </row>
    <row r="34" spans="1:6" s="217" customFormat="1" ht="14.1" customHeight="1" x14ac:dyDescent="0.2">
      <c r="A34" s="205"/>
      <c r="B34" s="183" t="s">
        <v>935</v>
      </c>
      <c r="C34" s="219">
        <v>0</v>
      </c>
      <c r="D34" s="219"/>
      <c r="E34" s="219">
        <v>0</v>
      </c>
      <c r="F34" s="313"/>
    </row>
    <row r="35" spans="1:6" s="21" customFormat="1" ht="24" x14ac:dyDescent="0.2">
      <c r="A35" s="205"/>
      <c r="B35" s="327" t="s">
        <v>936</v>
      </c>
      <c r="C35" s="219">
        <v>0</v>
      </c>
      <c r="D35" s="219"/>
      <c r="E35" s="219">
        <v>0</v>
      </c>
    </row>
    <row r="36" spans="1:6" ht="14.1" customHeight="1" x14ac:dyDescent="0.2">
      <c r="A36" s="205"/>
      <c r="B36" s="327" t="s">
        <v>937</v>
      </c>
      <c r="C36" s="219">
        <v>0</v>
      </c>
      <c r="D36" s="219"/>
      <c r="E36" s="219">
        <v>0</v>
      </c>
    </row>
    <row r="37" spans="1:6" s="21" customFormat="1" ht="14.1" customHeight="1" x14ac:dyDescent="0.2">
      <c r="A37" s="205"/>
      <c r="B37" s="313"/>
      <c r="C37" s="203"/>
      <c r="D37" s="219"/>
      <c r="E37" s="203"/>
    </row>
    <row r="38" spans="1:6" s="138" customFormat="1" ht="14.1" customHeight="1" x14ac:dyDescent="0.25">
      <c r="A38" s="205">
        <f>ROUNDDOWN(A31,0)+1</f>
        <v>13</v>
      </c>
      <c r="B38" s="316" t="str">
        <f>"Note "&amp; A38 &amp; " Other gains  (Group)"</f>
        <v>Note 13 Other gains  (Group)</v>
      </c>
      <c r="C38" s="458"/>
      <c r="D38" s="458"/>
      <c r="E38" s="458"/>
    </row>
    <row r="39" spans="1:6" s="138" customFormat="1" ht="14.1" customHeight="1" x14ac:dyDescent="0.2">
      <c r="A39" s="205"/>
      <c r="B39" s="313"/>
      <c r="C39" s="290" t="str">
        <f>CurrentFY</f>
        <v>2021/22</v>
      </c>
      <c r="D39" s="219"/>
      <c r="E39" s="290" t="str">
        <f>ComparativeFY</f>
        <v>2020/21</v>
      </c>
    </row>
    <row r="40" spans="1:6" s="138" customFormat="1" ht="14.1" customHeight="1" x14ac:dyDescent="0.2">
      <c r="A40" s="205"/>
      <c r="B40" s="313"/>
      <c r="C40" s="290" t="s">
        <v>590</v>
      </c>
      <c r="D40" s="219"/>
      <c r="E40" s="290" t="s">
        <v>590</v>
      </c>
    </row>
    <row r="41" spans="1:6" s="138" customFormat="1" ht="12" x14ac:dyDescent="0.2">
      <c r="A41" s="205"/>
      <c r="B41" s="327" t="s">
        <v>938</v>
      </c>
      <c r="C41" s="219">
        <v>74</v>
      </c>
      <c r="D41" s="219"/>
      <c r="E41" s="219">
        <v>0</v>
      </c>
    </row>
    <row r="42" spans="1:6" s="138" customFormat="1" ht="14.1" hidden="1" customHeight="1" x14ac:dyDescent="0.2">
      <c r="A42" s="205"/>
      <c r="B42" s="327" t="s">
        <v>939</v>
      </c>
      <c r="C42" s="219">
        <v>0</v>
      </c>
      <c r="D42" s="219"/>
      <c r="E42" s="219">
        <v>0</v>
      </c>
    </row>
    <row r="43" spans="1:6" s="169" customFormat="1" ht="14.1" hidden="1" customHeight="1" x14ac:dyDescent="0.2">
      <c r="A43" s="205"/>
      <c r="B43" s="327" t="s">
        <v>940</v>
      </c>
      <c r="C43" s="219">
        <v>0</v>
      </c>
      <c r="D43" s="219"/>
      <c r="E43" s="219">
        <v>0</v>
      </c>
    </row>
    <row r="44" spans="1:6" s="149" customFormat="1" ht="14.1" customHeight="1" x14ac:dyDescent="0.2">
      <c r="A44" s="205"/>
      <c r="B44" s="289" t="s">
        <v>1422</v>
      </c>
      <c r="C44" s="207">
        <f>SUM(C41:C43)</f>
        <v>74</v>
      </c>
      <c r="D44" s="219"/>
      <c r="E44" s="207">
        <f>SUM(E41:E43)</f>
        <v>0</v>
      </c>
    </row>
    <row r="45" spans="1:6" s="149" customFormat="1" ht="14.1" hidden="1" customHeight="1" x14ac:dyDescent="0.2">
      <c r="A45" s="205"/>
      <c r="B45" s="327" t="s">
        <v>941</v>
      </c>
      <c r="C45" s="219">
        <v>0</v>
      </c>
      <c r="D45" s="219"/>
      <c r="E45" s="219">
        <v>0</v>
      </c>
    </row>
    <row r="46" spans="1:6" s="149" customFormat="1" ht="14.1" hidden="1" customHeight="1" x14ac:dyDescent="0.2">
      <c r="A46" s="205"/>
      <c r="B46" s="327" t="s">
        <v>942</v>
      </c>
      <c r="C46" s="219">
        <v>0</v>
      </c>
      <c r="D46" s="219"/>
      <c r="E46" s="219">
        <v>0</v>
      </c>
    </row>
    <row r="47" spans="1:6" s="149" customFormat="1" ht="14.1" hidden="1" customHeight="1" x14ac:dyDescent="0.2">
      <c r="A47" s="205"/>
      <c r="B47" s="327" t="s">
        <v>943</v>
      </c>
      <c r="C47" s="219">
        <v>0</v>
      </c>
      <c r="D47" s="219"/>
      <c r="E47" s="219">
        <v>0</v>
      </c>
    </row>
    <row r="48" spans="1:6" s="169" customFormat="1" ht="13.7" hidden="1" customHeight="1" x14ac:dyDescent="0.2">
      <c r="A48" s="205"/>
      <c r="B48" s="327" t="s">
        <v>944</v>
      </c>
      <c r="C48" s="219">
        <v>0</v>
      </c>
      <c r="D48" s="219"/>
      <c r="E48" s="219">
        <v>0</v>
      </c>
    </row>
    <row r="49" spans="1:6" s="149" customFormat="1" ht="14.1" hidden="1" customHeight="1" x14ac:dyDescent="0.2">
      <c r="A49" s="205"/>
      <c r="B49" s="327" t="s">
        <v>945</v>
      </c>
      <c r="C49" s="219">
        <v>0</v>
      </c>
      <c r="D49" s="219"/>
      <c r="E49" s="219">
        <v>0</v>
      </c>
    </row>
    <row r="50" spans="1:6" s="149" customFormat="1" ht="24.6" hidden="1" customHeight="1" x14ac:dyDescent="0.2">
      <c r="A50" s="205"/>
      <c r="B50" s="327" t="s">
        <v>946</v>
      </c>
      <c r="C50" s="219">
        <v>0</v>
      </c>
      <c r="D50" s="219"/>
      <c r="E50" s="219">
        <v>0</v>
      </c>
    </row>
    <row r="51" spans="1:6" s="278" customFormat="1" ht="13.7" hidden="1" customHeight="1" x14ac:dyDescent="0.2">
      <c r="A51" s="205"/>
      <c r="B51" s="327" t="s">
        <v>510</v>
      </c>
      <c r="C51" s="219">
        <v>0</v>
      </c>
      <c r="D51" s="219"/>
      <c r="E51" s="219">
        <v>0</v>
      </c>
      <c r="F51" s="313"/>
    </row>
    <row r="52" spans="1:6" ht="14.1" hidden="1" customHeight="1" thickBot="1" x14ac:dyDescent="0.25">
      <c r="A52" s="205"/>
      <c r="B52" s="289" t="s">
        <v>947</v>
      </c>
      <c r="C52" s="206">
        <f>SUM(C44:C51)</f>
        <v>74</v>
      </c>
      <c r="D52" s="219"/>
      <c r="E52" s="206">
        <f>SUM(E44:E51)</f>
        <v>0</v>
      </c>
      <c r="F52" s="313"/>
    </row>
    <row r="53" spans="1:6" s="21" customFormat="1" ht="53.45" hidden="1" customHeight="1" thickTop="1" x14ac:dyDescent="0.2">
      <c r="A53" s="205"/>
      <c r="B53" s="462" t="s">
        <v>948</v>
      </c>
      <c r="C53" s="462"/>
      <c r="D53" s="462"/>
      <c r="E53" s="462"/>
      <c r="F53" s="313"/>
    </row>
    <row r="54" spans="1:6" s="21" customFormat="1" ht="14.1" customHeight="1" x14ac:dyDescent="0.2">
      <c r="A54" s="205"/>
      <c r="B54" s="313"/>
      <c r="C54" s="313"/>
      <c r="D54" s="219"/>
      <c r="E54" s="313"/>
      <c r="F54" s="313"/>
    </row>
    <row r="55" spans="1:6" ht="14.1" customHeight="1" x14ac:dyDescent="0.2">
      <c r="A55" s="205"/>
      <c r="B55" s="313"/>
      <c r="C55" s="203"/>
      <c r="D55" s="219"/>
      <c r="E55" s="203"/>
      <c r="F55" s="313"/>
    </row>
  </sheetData>
  <customSheetViews>
    <customSheetView guid="{EDC1BD6E-863A-4FC6-A3A9-F32079F4F0C1}" topLeftCell="A19">
      <selection activeCell="G43" sqref="G43"/>
      <pageMargins left="0" right="0" top="0" bottom="0" header="0" footer="0"/>
      <pageSetup paperSize="9" orientation="portrait" verticalDpi="0" r:id="rId1"/>
    </customSheetView>
  </customSheetViews>
  <mergeCells count="2">
    <mergeCell ref="B53:E53"/>
    <mergeCell ref="C38:E38"/>
  </mergeCells>
  <pageMargins left="0.70866141732283472" right="0.70866141732283472" top="0.74803149606299213" bottom="0.74803149606299213" header="0.31496062992125984" footer="0.31496062992125984"/>
  <pageSetup paperSize="9" scale="99" fitToHeight="0" orientation="portrait" verticalDpi="0" r:id="rId2"/>
  <headerFooter>
    <oddFooter>&amp;RPage &amp;P of &amp;N</oddFooter>
  </headerFooter>
  <ignoredErrors>
    <ignoredError sqref="C6:E6 C17:E17 C33:E33 C40:E40"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9">
    <tabColor theme="8" tint="0.39997558519241921"/>
    <pageSetUpPr fitToPage="1"/>
  </sheetPr>
  <dimension ref="A1:M69"/>
  <sheetViews>
    <sheetView showGridLines="0" topLeftCell="A17" zoomScaleNormal="100" workbookViewId="0">
      <selection activeCell="B28" sqref="B28"/>
    </sheetView>
  </sheetViews>
  <sheetFormatPr defaultColWidth="9.140625" defaultRowHeight="14.1" customHeight="1" x14ac:dyDescent="0.2"/>
  <cols>
    <col min="1" max="1" width="1.28515625" style="176" customWidth="1"/>
    <col min="2" max="2" width="51.7109375" style="169" customWidth="1"/>
    <col min="3" max="3" width="11.140625" style="169" customWidth="1"/>
    <col min="4" max="5" width="11.140625" style="169" hidden="1" customWidth="1"/>
    <col min="6" max="6" width="11.140625" style="169" customWidth="1"/>
    <col min="7" max="7" width="11.42578125" style="169" hidden="1" customWidth="1"/>
    <col min="8" max="10" width="11.140625" style="169" customWidth="1"/>
    <col min="11" max="12" width="11.140625" style="169" hidden="1" customWidth="1"/>
    <col min="13" max="13" width="11.140625" style="169" customWidth="1"/>
    <col min="14" max="16384" width="9.140625" style="169"/>
  </cols>
  <sheetData>
    <row r="1" spans="1:13" s="313" customFormat="1" ht="14.1" customHeight="1" x14ac:dyDescent="0.2">
      <c r="A1" s="350" t="s">
        <v>1310</v>
      </c>
      <c r="B1" s="351"/>
      <c r="C1" s="351"/>
      <c r="D1" s="351"/>
      <c r="E1" s="351"/>
      <c r="F1" s="351"/>
      <c r="G1" s="351"/>
      <c r="H1" s="351"/>
      <c r="I1" s="351"/>
      <c r="J1" s="351"/>
      <c r="K1" s="351"/>
      <c r="L1" s="351"/>
      <c r="M1" s="351"/>
    </row>
    <row r="2" spans="1:13" s="313" customFormat="1" ht="14.1" customHeight="1" x14ac:dyDescent="0.2">
      <c r="A2" s="205"/>
    </row>
    <row r="3" spans="1:13" ht="14.1" customHeight="1" x14ac:dyDescent="0.2">
      <c r="A3" s="191">
        <f>ROUNDDOWN('Finance &amp; other'!A38,0)+1.1</f>
        <v>14.1</v>
      </c>
      <c r="B3" s="316" t="str">
        <f>"Note " &amp;A3&amp; " Intangible assets - " &amp; CurrentFY</f>
        <v>Note 14.1 Intangible assets - 2021/22</v>
      </c>
      <c r="C3" s="313"/>
      <c r="D3" s="313"/>
      <c r="E3" s="313"/>
      <c r="F3" s="313"/>
      <c r="G3" s="313"/>
      <c r="H3" s="313"/>
      <c r="I3" s="313"/>
      <c r="J3" s="313"/>
      <c r="K3" s="313"/>
      <c r="L3" s="313"/>
      <c r="M3" s="314"/>
    </row>
    <row r="4" spans="1:13" ht="60" x14ac:dyDescent="0.2">
      <c r="A4" s="205"/>
      <c r="B4" s="316" t="s">
        <v>500</v>
      </c>
      <c r="C4" s="290" t="s">
        <v>949</v>
      </c>
      <c r="D4" s="290" t="s">
        <v>706</v>
      </c>
      <c r="E4" s="290" t="s">
        <v>707</v>
      </c>
      <c r="F4" s="290" t="s">
        <v>950</v>
      </c>
      <c r="G4" s="290" t="s">
        <v>703</v>
      </c>
      <c r="H4" s="290" t="s">
        <v>709</v>
      </c>
      <c r="I4" s="290" t="s">
        <v>704</v>
      </c>
      <c r="J4" s="290" t="s">
        <v>951</v>
      </c>
      <c r="K4" s="290" t="s">
        <v>708</v>
      </c>
      <c r="L4" s="290" t="s">
        <v>952</v>
      </c>
      <c r="M4" s="290" t="s">
        <v>953</v>
      </c>
    </row>
    <row r="5" spans="1:13" ht="14.1" customHeight="1" x14ac:dyDescent="0.2">
      <c r="A5" s="205"/>
      <c r="B5" s="316"/>
      <c r="C5" s="290" t="s">
        <v>590</v>
      </c>
      <c r="D5" s="290" t="s">
        <v>590</v>
      </c>
      <c r="E5" s="290" t="s">
        <v>590</v>
      </c>
      <c r="F5" s="290" t="s">
        <v>590</v>
      </c>
      <c r="G5" s="290" t="s">
        <v>590</v>
      </c>
      <c r="H5" s="290" t="s">
        <v>590</v>
      </c>
      <c r="I5" s="290" t="s">
        <v>590</v>
      </c>
      <c r="J5" s="290" t="s">
        <v>590</v>
      </c>
      <c r="K5" s="290" t="s">
        <v>590</v>
      </c>
      <c r="L5" s="290" t="s">
        <v>590</v>
      </c>
      <c r="M5" s="290" t="s">
        <v>590</v>
      </c>
    </row>
    <row r="6" spans="1:13" ht="12" x14ac:dyDescent="0.2">
      <c r="A6" s="205"/>
      <c r="B6" s="316" t="str">
        <f>"Valuation / gross cost at " &amp; TEXT(CurrentYearStart,"d mmmm yyyy") &amp; " - brought forward"</f>
        <v>Valuation / gross cost at 1 April 2021 - brought forward</v>
      </c>
      <c r="C6" s="220">
        <f>C49</f>
        <v>6024.5912800000006</v>
      </c>
      <c r="D6" s="220">
        <f t="shared" ref="D6:L6" si="0">D49</f>
        <v>1E-4</v>
      </c>
      <c r="E6" s="220">
        <f t="shared" si="0"/>
        <v>0</v>
      </c>
      <c r="F6" s="220">
        <f t="shared" si="0"/>
        <v>4976.10844</v>
      </c>
      <c r="G6" s="220">
        <f t="shared" si="0"/>
        <v>0</v>
      </c>
      <c r="H6" s="220">
        <f t="shared" si="0"/>
        <v>0</v>
      </c>
      <c r="I6" s="220">
        <f t="shared" si="0"/>
        <v>65.853560000000016</v>
      </c>
      <c r="J6" s="220">
        <f t="shared" si="0"/>
        <v>750.47659999999996</v>
      </c>
      <c r="K6" s="220">
        <f>K49</f>
        <v>0</v>
      </c>
      <c r="L6" s="220">
        <f t="shared" si="0"/>
        <v>0</v>
      </c>
      <c r="M6" s="220">
        <f>SUM(C6:L6)</f>
        <v>11817.029980000001</v>
      </c>
    </row>
    <row r="7" spans="1:13" ht="14.1" hidden="1" customHeight="1" x14ac:dyDescent="0.2">
      <c r="A7" s="205"/>
      <c r="B7" s="316" t="s">
        <v>954</v>
      </c>
      <c r="C7" s="220">
        <v>0</v>
      </c>
      <c r="D7" s="220">
        <v>0</v>
      </c>
      <c r="E7" s="220">
        <v>0</v>
      </c>
      <c r="F7" s="220">
        <v>0</v>
      </c>
      <c r="G7" s="220">
        <v>0</v>
      </c>
      <c r="H7" s="220">
        <v>0</v>
      </c>
      <c r="I7" s="220">
        <v>0</v>
      </c>
      <c r="J7" s="220">
        <v>0</v>
      </c>
      <c r="K7" s="220">
        <v>0</v>
      </c>
      <c r="L7" s="220">
        <v>0</v>
      </c>
      <c r="M7" s="220">
        <f t="shared" ref="M7:M15" si="1">SUM(C7:L7)</f>
        <v>0</v>
      </c>
    </row>
    <row r="8" spans="1:13" ht="14.1" hidden="1" customHeight="1" x14ac:dyDescent="0.2">
      <c r="A8" s="205"/>
      <c r="B8" s="327" t="s">
        <v>955</v>
      </c>
      <c r="C8" s="219">
        <v>0</v>
      </c>
      <c r="D8" s="219">
        <v>0</v>
      </c>
      <c r="E8" s="219">
        <v>0</v>
      </c>
      <c r="F8" s="219">
        <v>0</v>
      </c>
      <c r="G8" s="219">
        <v>0</v>
      </c>
      <c r="H8" s="219">
        <v>0</v>
      </c>
      <c r="I8" s="219">
        <v>0</v>
      </c>
      <c r="J8" s="219">
        <v>0</v>
      </c>
      <c r="K8" s="219">
        <v>0</v>
      </c>
      <c r="L8" s="219">
        <v>0</v>
      </c>
      <c r="M8" s="220">
        <f t="shared" si="1"/>
        <v>0</v>
      </c>
    </row>
    <row r="9" spans="1:13" ht="14.1" customHeight="1" x14ac:dyDescent="0.2">
      <c r="A9" s="205"/>
      <c r="B9" s="327" t="s">
        <v>956</v>
      </c>
      <c r="C9" s="219">
        <v>319</v>
      </c>
      <c r="D9" s="219">
        <v>0</v>
      </c>
      <c r="E9" s="219">
        <v>0</v>
      </c>
      <c r="F9" s="219">
        <v>0</v>
      </c>
      <c r="G9" s="219">
        <v>0</v>
      </c>
      <c r="H9" s="219">
        <v>0</v>
      </c>
      <c r="I9" s="219">
        <v>0</v>
      </c>
      <c r="J9" s="219">
        <v>1196</v>
      </c>
      <c r="K9" s="219">
        <v>0</v>
      </c>
      <c r="L9" s="219">
        <v>0</v>
      </c>
      <c r="M9" s="220">
        <f t="shared" si="1"/>
        <v>1515</v>
      </c>
    </row>
    <row r="10" spans="1:13" ht="14.1" customHeight="1" x14ac:dyDescent="0.2">
      <c r="A10" s="205"/>
      <c r="B10" s="327" t="s">
        <v>597</v>
      </c>
      <c r="C10" s="219">
        <v>-207</v>
      </c>
      <c r="D10" s="219">
        <v>0</v>
      </c>
      <c r="E10" s="219">
        <v>0</v>
      </c>
      <c r="F10" s="219">
        <v>0</v>
      </c>
      <c r="G10" s="219">
        <v>0</v>
      </c>
      <c r="H10" s="219">
        <v>0</v>
      </c>
      <c r="I10" s="219">
        <v>0</v>
      </c>
      <c r="J10" s="219">
        <v>0</v>
      </c>
      <c r="K10" s="219">
        <v>0</v>
      </c>
      <c r="L10" s="219">
        <v>0</v>
      </c>
      <c r="M10" s="220">
        <f t="shared" si="1"/>
        <v>-207</v>
      </c>
    </row>
    <row r="11" spans="1:13" ht="14.1" hidden="1" customHeight="1" x14ac:dyDescent="0.2">
      <c r="A11" s="205"/>
      <c r="B11" s="327" t="s">
        <v>957</v>
      </c>
      <c r="C11" s="219">
        <v>0</v>
      </c>
      <c r="D11" s="219">
        <v>0</v>
      </c>
      <c r="E11" s="219">
        <v>0</v>
      </c>
      <c r="F11" s="219">
        <v>0</v>
      </c>
      <c r="G11" s="219">
        <v>0</v>
      </c>
      <c r="H11" s="219">
        <v>0</v>
      </c>
      <c r="I11" s="219">
        <v>0</v>
      </c>
      <c r="J11" s="219">
        <v>0</v>
      </c>
      <c r="K11" s="219">
        <v>0</v>
      </c>
      <c r="L11" s="219">
        <v>0</v>
      </c>
      <c r="M11" s="220">
        <f t="shared" si="1"/>
        <v>0</v>
      </c>
    </row>
    <row r="12" spans="1:13" ht="14.1" hidden="1" customHeight="1" x14ac:dyDescent="0.2">
      <c r="A12" s="205"/>
      <c r="B12" s="327" t="s">
        <v>958</v>
      </c>
      <c r="C12" s="219">
        <v>0</v>
      </c>
      <c r="D12" s="219">
        <v>0</v>
      </c>
      <c r="E12" s="219">
        <v>0</v>
      </c>
      <c r="F12" s="219">
        <v>0</v>
      </c>
      <c r="G12" s="219">
        <v>0</v>
      </c>
      <c r="H12" s="219">
        <v>0</v>
      </c>
      <c r="I12" s="219">
        <v>0</v>
      </c>
      <c r="J12" s="219">
        <v>0</v>
      </c>
      <c r="K12" s="219">
        <v>0</v>
      </c>
      <c r="L12" s="219">
        <v>0</v>
      </c>
      <c r="M12" s="220">
        <f t="shared" si="1"/>
        <v>0</v>
      </c>
    </row>
    <row r="13" spans="1:13" ht="14.1" hidden="1" customHeight="1" x14ac:dyDescent="0.2">
      <c r="A13" s="205"/>
      <c r="B13" s="327" t="s">
        <v>959</v>
      </c>
      <c r="C13" s="219">
        <v>0</v>
      </c>
      <c r="D13" s="219">
        <v>0</v>
      </c>
      <c r="E13" s="219">
        <v>0</v>
      </c>
      <c r="F13" s="219">
        <v>0</v>
      </c>
      <c r="G13" s="219">
        <v>0</v>
      </c>
      <c r="H13" s="219">
        <v>0</v>
      </c>
      <c r="I13" s="219">
        <v>0</v>
      </c>
      <c r="J13" s="219">
        <v>0</v>
      </c>
      <c r="K13" s="219">
        <v>0</v>
      </c>
      <c r="L13" s="219">
        <v>0</v>
      </c>
      <c r="M13" s="220">
        <f t="shared" si="1"/>
        <v>0</v>
      </c>
    </row>
    <row r="14" spans="1:13" ht="12" x14ac:dyDescent="0.2">
      <c r="A14" s="205"/>
      <c r="B14" s="426" t="s">
        <v>1426</v>
      </c>
      <c r="C14" s="219">
        <v>30</v>
      </c>
      <c r="D14" s="219">
        <v>0</v>
      </c>
      <c r="E14" s="219">
        <v>0</v>
      </c>
      <c r="F14" s="219">
        <v>0</v>
      </c>
      <c r="G14" s="219">
        <v>0</v>
      </c>
      <c r="H14" s="219">
        <v>0</v>
      </c>
      <c r="I14" s="219">
        <v>0</v>
      </c>
      <c r="J14" s="219">
        <v>0</v>
      </c>
      <c r="K14" s="219">
        <v>0</v>
      </c>
      <c r="L14" s="219">
        <v>0</v>
      </c>
      <c r="M14" s="220">
        <f t="shared" si="1"/>
        <v>30</v>
      </c>
    </row>
    <row r="15" spans="1:13" ht="14.1" customHeight="1" x14ac:dyDescent="0.2">
      <c r="A15" s="205"/>
      <c r="B15" s="327" t="s">
        <v>1446</v>
      </c>
      <c r="C15" s="219">
        <v>-387</v>
      </c>
      <c r="D15" s="219">
        <v>0</v>
      </c>
      <c r="E15" s="219">
        <v>0</v>
      </c>
      <c r="F15" s="219">
        <v>0</v>
      </c>
      <c r="G15" s="219">
        <v>0</v>
      </c>
      <c r="H15" s="219">
        <v>0</v>
      </c>
      <c r="I15" s="219">
        <v>0</v>
      </c>
      <c r="J15" s="219">
        <v>0</v>
      </c>
      <c r="K15" s="219">
        <v>0</v>
      </c>
      <c r="L15" s="219">
        <v>0</v>
      </c>
      <c r="M15" s="220">
        <f t="shared" si="1"/>
        <v>-387</v>
      </c>
    </row>
    <row r="16" spans="1:13" ht="14.1" customHeight="1" thickBot="1" x14ac:dyDescent="0.25">
      <c r="A16" s="205"/>
      <c r="B16" s="289" t="str">
        <f>"Valuation / gross cost at " &amp; TEXT(CurrentYearEnd, "d mmmm yyyy")</f>
        <v>Valuation / gross cost at 31 March 2022</v>
      </c>
      <c r="C16" s="206">
        <f t="shared" ref="C16:M16" si="2">SUM(C6:C15)</f>
        <v>5779.5912800000006</v>
      </c>
      <c r="D16" s="206">
        <f t="shared" si="2"/>
        <v>1E-4</v>
      </c>
      <c r="E16" s="206">
        <f t="shared" si="2"/>
        <v>0</v>
      </c>
      <c r="F16" s="206">
        <f t="shared" si="2"/>
        <v>4976.10844</v>
      </c>
      <c r="G16" s="206">
        <f t="shared" si="2"/>
        <v>0</v>
      </c>
      <c r="H16" s="206">
        <f t="shared" si="2"/>
        <v>0</v>
      </c>
      <c r="I16" s="206">
        <f t="shared" si="2"/>
        <v>65.853560000000016</v>
      </c>
      <c r="J16" s="206">
        <f t="shared" si="2"/>
        <v>1946.4766</v>
      </c>
      <c r="K16" s="206">
        <f t="shared" si="2"/>
        <v>0</v>
      </c>
      <c r="L16" s="206">
        <f t="shared" si="2"/>
        <v>0</v>
      </c>
      <c r="M16" s="206">
        <f t="shared" si="2"/>
        <v>12768.029980000001</v>
      </c>
    </row>
    <row r="17" spans="1:13" ht="14.1" customHeight="1" thickTop="1" x14ac:dyDescent="0.2">
      <c r="A17" s="205"/>
      <c r="B17" s="316"/>
      <c r="C17" s="203"/>
      <c r="D17" s="203"/>
      <c r="E17" s="203"/>
      <c r="F17" s="203"/>
      <c r="G17" s="203"/>
      <c r="H17" s="203"/>
      <c r="I17" s="203"/>
      <c r="J17" s="203"/>
      <c r="K17" s="203"/>
      <c r="L17" s="203"/>
      <c r="M17" s="187"/>
    </row>
    <row r="18" spans="1:13" ht="14.1" customHeight="1" x14ac:dyDescent="0.2">
      <c r="A18" s="205"/>
      <c r="B18" s="316" t="str">
        <f>"Amortisation at " &amp; TEXT(CurrentYearStart,"d mmmm yyyy") &amp; " - brought forward"</f>
        <v>Amortisation at 1 April 2021 - brought forward</v>
      </c>
      <c r="C18" s="220">
        <f>C63</f>
        <v>2855.2658499999998</v>
      </c>
      <c r="D18" s="220">
        <f t="shared" ref="D18:L18" si="3">D63</f>
        <v>-1E-4</v>
      </c>
      <c r="E18" s="220">
        <f t="shared" si="3"/>
        <v>0</v>
      </c>
      <c r="F18" s="220">
        <f t="shared" si="3"/>
        <v>4976.10844</v>
      </c>
      <c r="G18" s="220">
        <f t="shared" si="3"/>
        <v>0</v>
      </c>
      <c r="H18" s="220">
        <f t="shared" si="3"/>
        <v>0</v>
      </c>
      <c r="I18" s="220">
        <f t="shared" si="3"/>
        <v>22</v>
      </c>
      <c r="J18" s="220">
        <f t="shared" si="3"/>
        <v>0</v>
      </c>
      <c r="K18" s="220">
        <f t="shared" si="3"/>
        <v>0</v>
      </c>
      <c r="L18" s="220">
        <f t="shared" si="3"/>
        <v>0</v>
      </c>
      <c r="M18" s="220">
        <f>SUM(C18:L18)</f>
        <v>7853.3741899999995</v>
      </c>
    </row>
    <row r="19" spans="1:13" ht="14.1" hidden="1" customHeight="1" x14ac:dyDescent="0.2">
      <c r="A19" s="205"/>
      <c r="B19" s="316" t="s">
        <v>961</v>
      </c>
      <c r="C19" s="220">
        <v>0</v>
      </c>
      <c r="D19" s="220">
        <v>0</v>
      </c>
      <c r="E19" s="220">
        <v>0</v>
      </c>
      <c r="F19" s="220">
        <v>0</v>
      </c>
      <c r="G19" s="220">
        <v>0</v>
      </c>
      <c r="H19" s="220">
        <v>0</v>
      </c>
      <c r="I19" s="220">
        <v>0</v>
      </c>
      <c r="J19" s="220">
        <v>0</v>
      </c>
      <c r="K19" s="220">
        <v>0</v>
      </c>
      <c r="L19" s="220">
        <v>0</v>
      </c>
      <c r="M19" s="220">
        <f t="shared" ref="M19:M27" si="4">SUM(C19:L19)</f>
        <v>0</v>
      </c>
    </row>
    <row r="20" spans="1:13" ht="14.1" hidden="1" customHeight="1" x14ac:dyDescent="0.2">
      <c r="A20" s="205"/>
      <c r="B20" s="327" t="s">
        <v>962</v>
      </c>
      <c r="C20" s="219">
        <v>0</v>
      </c>
      <c r="D20" s="219">
        <v>0</v>
      </c>
      <c r="E20" s="219">
        <v>0</v>
      </c>
      <c r="F20" s="219">
        <v>0</v>
      </c>
      <c r="G20" s="219">
        <v>0</v>
      </c>
      <c r="H20" s="219">
        <v>0</v>
      </c>
      <c r="I20" s="219">
        <v>0</v>
      </c>
      <c r="J20" s="219">
        <v>0</v>
      </c>
      <c r="K20" s="219">
        <v>0</v>
      </c>
      <c r="L20" s="219">
        <v>0</v>
      </c>
      <c r="M20" s="220">
        <f t="shared" si="4"/>
        <v>0</v>
      </c>
    </row>
    <row r="21" spans="1:13" ht="14.1" customHeight="1" x14ac:dyDescent="0.2">
      <c r="A21" s="205"/>
      <c r="B21" s="327" t="s">
        <v>963</v>
      </c>
      <c r="C21" s="219">
        <v>1085</v>
      </c>
      <c r="D21" s="219">
        <v>0</v>
      </c>
      <c r="E21" s="219">
        <v>0</v>
      </c>
      <c r="F21" s="219">
        <v>0</v>
      </c>
      <c r="G21" s="219">
        <v>0</v>
      </c>
      <c r="H21" s="219">
        <v>0</v>
      </c>
      <c r="I21" s="219">
        <v>13</v>
      </c>
      <c r="J21" s="219">
        <v>0</v>
      </c>
      <c r="K21" s="219">
        <v>0</v>
      </c>
      <c r="L21" s="219">
        <v>0</v>
      </c>
      <c r="M21" s="220">
        <f t="shared" si="4"/>
        <v>1098</v>
      </c>
    </row>
    <row r="22" spans="1:13" ht="14.1" customHeight="1" x14ac:dyDescent="0.2">
      <c r="A22" s="205"/>
      <c r="B22" s="327" t="s">
        <v>597</v>
      </c>
      <c r="C22" s="219">
        <v>-20</v>
      </c>
      <c r="D22" s="219">
        <v>0</v>
      </c>
      <c r="E22" s="219">
        <v>0</v>
      </c>
      <c r="F22" s="219">
        <v>0</v>
      </c>
      <c r="G22" s="219">
        <v>0</v>
      </c>
      <c r="H22" s="219">
        <v>0</v>
      </c>
      <c r="I22" s="219">
        <v>0</v>
      </c>
      <c r="J22" s="219">
        <v>0</v>
      </c>
      <c r="K22" s="219">
        <v>0</v>
      </c>
      <c r="L22" s="219">
        <v>0</v>
      </c>
      <c r="M22" s="220">
        <f t="shared" si="4"/>
        <v>-20</v>
      </c>
    </row>
    <row r="23" spans="1:13" ht="14.1" hidden="1" customHeight="1" x14ac:dyDescent="0.2">
      <c r="A23" s="205"/>
      <c r="B23" s="327" t="s">
        <v>957</v>
      </c>
      <c r="C23" s="219">
        <v>0</v>
      </c>
      <c r="D23" s="219">
        <v>0</v>
      </c>
      <c r="E23" s="219">
        <v>0</v>
      </c>
      <c r="F23" s="219">
        <v>0</v>
      </c>
      <c r="G23" s="219">
        <v>0</v>
      </c>
      <c r="H23" s="219">
        <v>0</v>
      </c>
      <c r="I23" s="219">
        <v>0</v>
      </c>
      <c r="J23" s="219">
        <v>0</v>
      </c>
      <c r="K23" s="219">
        <v>0</v>
      </c>
      <c r="L23" s="219">
        <v>0</v>
      </c>
      <c r="M23" s="220">
        <f t="shared" si="4"/>
        <v>0</v>
      </c>
    </row>
    <row r="24" spans="1:13" ht="14.1" hidden="1" customHeight="1" x14ac:dyDescent="0.2">
      <c r="A24" s="205"/>
      <c r="B24" s="327" t="s">
        <v>958</v>
      </c>
      <c r="C24" s="219">
        <v>0</v>
      </c>
      <c r="D24" s="219">
        <v>0</v>
      </c>
      <c r="E24" s="219">
        <v>0</v>
      </c>
      <c r="F24" s="219">
        <v>0</v>
      </c>
      <c r="G24" s="219">
        <v>0</v>
      </c>
      <c r="H24" s="219">
        <v>0</v>
      </c>
      <c r="I24" s="219">
        <v>0</v>
      </c>
      <c r="J24" s="219">
        <v>0</v>
      </c>
      <c r="K24" s="219">
        <v>0</v>
      </c>
      <c r="L24" s="219">
        <v>0</v>
      </c>
      <c r="M24" s="220">
        <f t="shared" si="4"/>
        <v>0</v>
      </c>
    </row>
    <row r="25" spans="1:13" ht="14.1" hidden="1" customHeight="1" x14ac:dyDescent="0.2">
      <c r="A25" s="313"/>
      <c r="B25" s="327" t="s">
        <v>959</v>
      </c>
      <c r="C25" s="219">
        <v>0</v>
      </c>
      <c r="D25" s="219">
        <v>0</v>
      </c>
      <c r="E25" s="219">
        <v>0</v>
      </c>
      <c r="F25" s="219">
        <v>0</v>
      </c>
      <c r="G25" s="219">
        <v>0</v>
      </c>
      <c r="H25" s="219">
        <v>0</v>
      </c>
      <c r="I25" s="219">
        <v>0</v>
      </c>
      <c r="J25" s="219">
        <v>0</v>
      </c>
      <c r="K25" s="219">
        <v>0</v>
      </c>
      <c r="L25" s="219">
        <v>0</v>
      </c>
      <c r="M25" s="220">
        <f t="shared" si="4"/>
        <v>0</v>
      </c>
    </row>
    <row r="26" spans="1:13" ht="15.75" customHeight="1" x14ac:dyDescent="0.2">
      <c r="A26" s="205"/>
      <c r="B26" s="426" t="s">
        <v>1425</v>
      </c>
      <c r="C26" s="219">
        <v>-25</v>
      </c>
      <c r="D26" s="219">
        <v>0</v>
      </c>
      <c r="E26" s="219">
        <v>0</v>
      </c>
      <c r="F26" s="219">
        <v>0</v>
      </c>
      <c r="G26" s="219">
        <v>0</v>
      </c>
      <c r="H26" s="219">
        <v>0</v>
      </c>
      <c r="I26" s="219">
        <v>0</v>
      </c>
      <c r="J26" s="219">
        <v>0</v>
      </c>
      <c r="K26" s="219">
        <v>0</v>
      </c>
      <c r="L26" s="219">
        <v>0</v>
      </c>
      <c r="M26" s="220">
        <f t="shared" si="4"/>
        <v>-25</v>
      </c>
    </row>
    <row r="27" spans="1:13" ht="14.1" customHeight="1" x14ac:dyDescent="0.2">
      <c r="A27" s="205"/>
      <c r="B27" s="327" t="s">
        <v>1446</v>
      </c>
      <c r="C27" s="219">
        <v>-387</v>
      </c>
      <c r="D27" s="219">
        <v>0</v>
      </c>
      <c r="E27" s="219">
        <v>0</v>
      </c>
      <c r="F27" s="219">
        <v>0</v>
      </c>
      <c r="G27" s="219">
        <v>0</v>
      </c>
      <c r="H27" s="219">
        <v>0</v>
      </c>
      <c r="I27" s="219">
        <v>0</v>
      </c>
      <c r="J27" s="219">
        <v>0</v>
      </c>
      <c r="K27" s="219">
        <v>0</v>
      </c>
      <c r="L27" s="219">
        <v>0</v>
      </c>
      <c r="M27" s="220">
        <f t="shared" si="4"/>
        <v>-387</v>
      </c>
    </row>
    <row r="28" spans="1:13" ht="14.1" customHeight="1" thickBot="1" x14ac:dyDescent="0.25">
      <c r="A28" s="205"/>
      <c r="B28" s="289" t="str">
        <f>"Amortisation at " &amp; TEXT(CurrentYearEnd, "d mmmm yyyy")</f>
        <v>Amortisation at 31 March 2022</v>
      </c>
      <c r="C28" s="206">
        <f t="shared" ref="C28:M28" si="5">SUM(C18:C27)</f>
        <v>3508.2658499999998</v>
      </c>
      <c r="D28" s="206">
        <f t="shared" si="5"/>
        <v>-1E-4</v>
      </c>
      <c r="E28" s="206">
        <f t="shared" si="5"/>
        <v>0</v>
      </c>
      <c r="F28" s="206">
        <f t="shared" si="5"/>
        <v>4976.10844</v>
      </c>
      <c r="G28" s="206">
        <f t="shared" si="5"/>
        <v>0</v>
      </c>
      <c r="H28" s="206">
        <f t="shared" si="5"/>
        <v>0</v>
      </c>
      <c r="I28" s="206">
        <f t="shared" si="5"/>
        <v>35</v>
      </c>
      <c r="J28" s="206">
        <f t="shared" si="5"/>
        <v>0</v>
      </c>
      <c r="K28" s="206">
        <f t="shared" si="5"/>
        <v>0</v>
      </c>
      <c r="L28" s="206">
        <f t="shared" si="5"/>
        <v>0</v>
      </c>
      <c r="M28" s="206">
        <f t="shared" si="5"/>
        <v>8519.3741899999986</v>
      </c>
    </row>
    <row r="29" spans="1:13" ht="14.1" customHeight="1" thickTop="1" x14ac:dyDescent="0.2">
      <c r="A29" s="205"/>
      <c r="B29" s="316"/>
      <c r="C29" s="203"/>
      <c r="D29" s="203"/>
      <c r="E29" s="203"/>
      <c r="F29" s="203"/>
      <c r="G29" s="203"/>
      <c r="H29" s="203"/>
      <c r="I29" s="203"/>
      <c r="J29" s="203"/>
      <c r="K29" s="203"/>
      <c r="L29" s="203"/>
      <c r="M29" s="203"/>
    </row>
    <row r="30" spans="1:13" ht="14.1" customHeight="1" x14ac:dyDescent="0.2">
      <c r="A30" s="205"/>
      <c r="B30" s="316" t="str">
        <f>"Net book value at "&amp; TEXT(CurrentYearEnd, "d mmmm yyyy")</f>
        <v>Net book value at 31 March 2022</v>
      </c>
      <c r="C30" s="220">
        <f t="shared" ref="C30:L30" si="6">C16-C28</f>
        <v>2271.3254300000008</v>
      </c>
      <c r="D30" s="220">
        <f t="shared" si="6"/>
        <v>2.0000000000000001E-4</v>
      </c>
      <c r="E30" s="220">
        <f t="shared" si="6"/>
        <v>0</v>
      </c>
      <c r="F30" s="220">
        <f t="shared" si="6"/>
        <v>0</v>
      </c>
      <c r="G30" s="220">
        <f t="shared" si="6"/>
        <v>0</v>
      </c>
      <c r="H30" s="220">
        <f t="shared" si="6"/>
        <v>0</v>
      </c>
      <c r="I30" s="220">
        <f t="shared" si="6"/>
        <v>30.853560000000016</v>
      </c>
      <c r="J30" s="220">
        <f t="shared" si="6"/>
        <v>1946.4766</v>
      </c>
      <c r="K30" s="220">
        <f t="shared" si="6"/>
        <v>0</v>
      </c>
      <c r="L30" s="220">
        <f t="shared" si="6"/>
        <v>0</v>
      </c>
      <c r="M30" s="220">
        <f>SUM(C30:L30)</f>
        <v>4248.6557900000007</v>
      </c>
    </row>
    <row r="31" spans="1:13" ht="14.1" customHeight="1" x14ac:dyDescent="0.2">
      <c r="A31" s="205"/>
      <c r="B31" s="316" t="str">
        <f>"Net book value at "&amp; TEXT(CurrentYearStart,"d mmmm yyyy")</f>
        <v>Net book value at 1 April 2021</v>
      </c>
      <c r="C31" s="220">
        <f t="shared" ref="C31:L31" si="7">C6-C18</f>
        <v>3169.3254300000008</v>
      </c>
      <c r="D31" s="220">
        <f t="shared" si="7"/>
        <v>2.0000000000000001E-4</v>
      </c>
      <c r="E31" s="220">
        <f t="shared" si="7"/>
        <v>0</v>
      </c>
      <c r="F31" s="220">
        <f t="shared" si="7"/>
        <v>0</v>
      </c>
      <c r="G31" s="220">
        <f t="shared" si="7"/>
        <v>0</v>
      </c>
      <c r="H31" s="220">
        <f t="shared" si="7"/>
        <v>0</v>
      </c>
      <c r="I31" s="220">
        <f t="shared" si="7"/>
        <v>43.853560000000016</v>
      </c>
      <c r="J31" s="220">
        <f t="shared" si="7"/>
        <v>750.47659999999996</v>
      </c>
      <c r="K31" s="220">
        <f t="shared" si="7"/>
        <v>0</v>
      </c>
      <c r="L31" s="220">
        <f t="shared" si="7"/>
        <v>0</v>
      </c>
      <c r="M31" s="220">
        <f>SUM(C31:L31)</f>
        <v>3963.6557900000007</v>
      </c>
    </row>
    <row r="34" spans="1:13" ht="14.1" customHeight="1" x14ac:dyDescent="0.2">
      <c r="A34" s="205">
        <f>A3+0.1</f>
        <v>14.2</v>
      </c>
      <c r="B34" s="316" t="str">
        <f>"Note "&amp; A34 &amp; " Intangible assets - " &amp; ComparativeFY</f>
        <v>Note 14.2 Intangible assets - 2020/21</v>
      </c>
      <c r="C34" s="313"/>
      <c r="D34" s="313"/>
      <c r="E34" s="313"/>
      <c r="F34" s="313"/>
      <c r="G34" s="313"/>
      <c r="H34" s="313"/>
      <c r="I34" s="313"/>
      <c r="J34" s="313"/>
      <c r="K34" s="313"/>
      <c r="L34" s="313"/>
      <c r="M34" s="313"/>
    </row>
    <row r="35" spans="1:13" ht="60" x14ac:dyDescent="0.2">
      <c r="A35" s="205"/>
      <c r="B35" s="316" t="s">
        <v>500</v>
      </c>
      <c r="C35" s="290" t="s">
        <v>949</v>
      </c>
      <c r="D35" s="290" t="s">
        <v>706</v>
      </c>
      <c r="E35" s="290" t="s">
        <v>707</v>
      </c>
      <c r="F35" s="290" t="s">
        <v>950</v>
      </c>
      <c r="G35" s="290" t="s">
        <v>703</v>
      </c>
      <c r="H35" s="290" t="s">
        <v>709</v>
      </c>
      <c r="I35" s="290" t="s">
        <v>704</v>
      </c>
      <c r="J35" s="290" t="s">
        <v>951</v>
      </c>
      <c r="K35" s="290" t="s">
        <v>708</v>
      </c>
      <c r="L35" s="290" t="s">
        <v>952</v>
      </c>
      <c r="M35" s="290" t="s">
        <v>953</v>
      </c>
    </row>
    <row r="36" spans="1:13" ht="14.1" customHeight="1" x14ac:dyDescent="0.2">
      <c r="A36" s="205"/>
      <c r="B36" s="316"/>
      <c r="C36" s="290" t="s">
        <v>590</v>
      </c>
      <c r="D36" s="290" t="s">
        <v>590</v>
      </c>
      <c r="E36" s="290" t="s">
        <v>590</v>
      </c>
      <c r="F36" s="290" t="s">
        <v>590</v>
      </c>
      <c r="G36" s="290" t="s">
        <v>590</v>
      </c>
      <c r="H36" s="290" t="s">
        <v>590</v>
      </c>
      <c r="I36" s="290" t="s">
        <v>590</v>
      </c>
      <c r="J36" s="290" t="s">
        <v>590</v>
      </c>
      <c r="K36" s="290" t="s">
        <v>590</v>
      </c>
      <c r="L36" s="290" t="s">
        <v>590</v>
      </c>
      <c r="M36" s="290" t="s">
        <v>590</v>
      </c>
    </row>
    <row r="37" spans="1:13" ht="25.5" customHeight="1" x14ac:dyDescent="0.2">
      <c r="A37" s="205"/>
      <c r="B37" s="316" t="str">
        <f>"Valuation / gross cost at " &amp; TEXT(ComparativeYearStart, "d mmmm yyyy") &amp; " - as previously stated"</f>
        <v>Valuation / gross cost at 1 April 2020 - as previously stated</v>
      </c>
      <c r="C37" s="220">
        <v>7357.5912799999996</v>
      </c>
      <c r="D37" s="220">
        <v>1E-4</v>
      </c>
      <c r="E37" s="220">
        <v>0</v>
      </c>
      <c r="F37" s="220">
        <v>4976.10844</v>
      </c>
      <c r="G37" s="220">
        <v>0</v>
      </c>
      <c r="H37" s="220">
        <v>0</v>
      </c>
      <c r="I37" s="220">
        <v>65.853560000000002</v>
      </c>
      <c r="J37" s="220">
        <v>209.47659999999999</v>
      </c>
      <c r="K37" s="220">
        <v>0</v>
      </c>
      <c r="L37" s="220">
        <v>0</v>
      </c>
      <c r="M37" s="220">
        <f t="shared" ref="M37:M38" si="8">SUM(C37:L37)</f>
        <v>12609.029979999999</v>
      </c>
    </row>
    <row r="38" spans="1:13" ht="14.1" hidden="1" customHeight="1" x14ac:dyDescent="0.2">
      <c r="A38" s="205"/>
      <c r="B38" s="327" t="s">
        <v>542</v>
      </c>
      <c r="C38" s="219">
        <v>0</v>
      </c>
      <c r="D38" s="219">
        <v>0</v>
      </c>
      <c r="E38" s="219">
        <v>0</v>
      </c>
      <c r="F38" s="219">
        <v>0</v>
      </c>
      <c r="G38" s="219">
        <v>0</v>
      </c>
      <c r="H38" s="219">
        <v>0</v>
      </c>
      <c r="I38" s="219">
        <v>0</v>
      </c>
      <c r="J38" s="219">
        <v>0</v>
      </c>
      <c r="K38" s="219">
        <v>0</v>
      </c>
      <c r="L38" s="219">
        <v>0</v>
      </c>
      <c r="M38" s="220">
        <f t="shared" si="8"/>
        <v>0</v>
      </c>
    </row>
    <row r="39" spans="1:13" ht="14.1" hidden="1" customHeight="1" x14ac:dyDescent="0.2">
      <c r="A39" s="205"/>
      <c r="B39" s="316" t="str">
        <f>"Valuation / gross cost at " &amp; TEXT(ComparativeYearStart, "d mmmm yyyy") &amp; " - restated"</f>
        <v>Valuation / gross cost at 1 April 2020 - restated</v>
      </c>
      <c r="C39" s="207">
        <f>SUM(C37:C38)</f>
        <v>7357.5912799999996</v>
      </c>
      <c r="D39" s="207">
        <f t="shared" ref="D39:M39" si="9">SUM(D37:D38)</f>
        <v>1E-4</v>
      </c>
      <c r="E39" s="207">
        <f t="shared" si="9"/>
        <v>0</v>
      </c>
      <c r="F39" s="207">
        <f t="shared" si="9"/>
        <v>4976.10844</v>
      </c>
      <c r="G39" s="207">
        <f t="shared" si="9"/>
        <v>0</v>
      </c>
      <c r="H39" s="207">
        <f t="shared" si="9"/>
        <v>0</v>
      </c>
      <c r="I39" s="207">
        <f t="shared" si="9"/>
        <v>65.853560000000002</v>
      </c>
      <c r="J39" s="207">
        <f t="shared" si="9"/>
        <v>209.47659999999999</v>
      </c>
      <c r="K39" s="207">
        <f t="shared" si="9"/>
        <v>0</v>
      </c>
      <c r="L39" s="207">
        <f t="shared" si="9"/>
        <v>0</v>
      </c>
      <c r="M39" s="207">
        <f t="shared" si="9"/>
        <v>12609.029979999999</v>
      </c>
    </row>
    <row r="40" spans="1:13" ht="14.1" hidden="1" customHeight="1" x14ac:dyDescent="0.2">
      <c r="A40" s="205"/>
      <c r="B40" s="316" t="s">
        <v>954</v>
      </c>
      <c r="C40" s="220">
        <v>0</v>
      </c>
      <c r="D40" s="220">
        <v>0</v>
      </c>
      <c r="E40" s="220">
        <v>0</v>
      </c>
      <c r="F40" s="220">
        <v>0</v>
      </c>
      <c r="G40" s="220">
        <v>0</v>
      </c>
      <c r="H40" s="220">
        <v>0</v>
      </c>
      <c r="I40" s="220">
        <v>0</v>
      </c>
      <c r="J40" s="220">
        <v>0</v>
      </c>
      <c r="K40" s="220">
        <v>0</v>
      </c>
      <c r="L40" s="220">
        <v>0</v>
      </c>
      <c r="M40" s="220">
        <f t="shared" ref="M40:M48" si="10">SUM(C40:L40)</f>
        <v>0</v>
      </c>
    </row>
    <row r="41" spans="1:13" ht="14.1" hidden="1" customHeight="1" x14ac:dyDescent="0.2">
      <c r="A41" s="205"/>
      <c r="B41" s="327" t="s">
        <v>962</v>
      </c>
      <c r="C41" s="219">
        <v>0</v>
      </c>
      <c r="D41" s="219">
        <v>0</v>
      </c>
      <c r="E41" s="219">
        <v>0</v>
      </c>
      <c r="F41" s="219">
        <v>0</v>
      </c>
      <c r="G41" s="219">
        <v>0</v>
      </c>
      <c r="H41" s="219">
        <v>0</v>
      </c>
      <c r="I41" s="219">
        <v>0</v>
      </c>
      <c r="J41" s="219">
        <v>0</v>
      </c>
      <c r="K41" s="219">
        <v>0</v>
      </c>
      <c r="L41" s="219">
        <v>0</v>
      </c>
      <c r="M41" s="220">
        <f t="shared" si="10"/>
        <v>0</v>
      </c>
    </row>
    <row r="42" spans="1:13" ht="14.1" customHeight="1" x14ac:dyDescent="0.2">
      <c r="A42" s="205"/>
      <c r="B42" s="327" t="s">
        <v>956</v>
      </c>
      <c r="C42" s="219">
        <v>1577</v>
      </c>
      <c r="D42" s="219">
        <v>0</v>
      </c>
      <c r="E42" s="219">
        <v>0</v>
      </c>
      <c r="F42" s="219">
        <v>0</v>
      </c>
      <c r="G42" s="219">
        <v>0</v>
      </c>
      <c r="H42" s="219">
        <v>636</v>
      </c>
      <c r="I42" s="219">
        <v>66</v>
      </c>
      <c r="J42" s="219">
        <v>541</v>
      </c>
      <c r="K42" s="219">
        <v>0</v>
      </c>
      <c r="L42" s="219">
        <v>0</v>
      </c>
      <c r="M42" s="220">
        <f t="shared" si="10"/>
        <v>2820</v>
      </c>
    </row>
    <row r="43" spans="1:13" ht="14.1" customHeight="1" x14ac:dyDescent="0.2">
      <c r="A43" s="205"/>
      <c r="B43" s="327" t="s">
        <v>597</v>
      </c>
      <c r="C43" s="219">
        <v>0</v>
      </c>
      <c r="D43" s="219">
        <v>0</v>
      </c>
      <c r="E43" s="219">
        <v>0</v>
      </c>
      <c r="F43" s="219">
        <v>0</v>
      </c>
      <c r="G43" s="219">
        <v>0</v>
      </c>
      <c r="H43" s="219">
        <v>-636</v>
      </c>
      <c r="I43" s="219">
        <v>0</v>
      </c>
      <c r="J43" s="219">
        <v>0</v>
      </c>
      <c r="K43" s="219">
        <v>0</v>
      </c>
      <c r="L43" s="219">
        <v>0</v>
      </c>
      <c r="M43" s="220">
        <f t="shared" si="10"/>
        <v>-636</v>
      </c>
    </row>
    <row r="44" spans="1:13" ht="14.1" hidden="1" customHeight="1" x14ac:dyDescent="0.2">
      <c r="A44" s="205"/>
      <c r="B44" s="327" t="s">
        <v>957</v>
      </c>
      <c r="C44" s="219">
        <v>0</v>
      </c>
      <c r="D44" s="219">
        <v>0</v>
      </c>
      <c r="E44" s="219">
        <v>0</v>
      </c>
      <c r="F44" s="219">
        <v>0</v>
      </c>
      <c r="G44" s="219">
        <v>0</v>
      </c>
      <c r="H44" s="219">
        <v>0</v>
      </c>
      <c r="I44" s="219">
        <v>0</v>
      </c>
      <c r="J44" s="219">
        <v>0</v>
      </c>
      <c r="K44" s="219">
        <v>0</v>
      </c>
      <c r="L44" s="219">
        <v>0</v>
      </c>
      <c r="M44" s="220">
        <f t="shared" si="10"/>
        <v>0</v>
      </c>
    </row>
    <row r="45" spans="1:13" ht="14.1" hidden="1" customHeight="1" x14ac:dyDescent="0.2">
      <c r="A45" s="313"/>
      <c r="B45" s="327" t="s">
        <v>958</v>
      </c>
      <c r="C45" s="219">
        <v>0</v>
      </c>
      <c r="D45" s="219">
        <v>0</v>
      </c>
      <c r="E45" s="219">
        <v>0</v>
      </c>
      <c r="F45" s="219">
        <v>0</v>
      </c>
      <c r="G45" s="219">
        <v>0</v>
      </c>
      <c r="H45" s="219">
        <v>0</v>
      </c>
      <c r="I45" s="219">
        <v>0</v>
      </c>
      <c r="J45" s="219">
        <v>0</v>
      </c>
      <c r="K45" s="219">
        <v>0</v>
      </c>
      <c r="L45" s="219">
        <v>0</v>
      </c>
      <c r="M45" s="220">
        <f t="shared" si="10"/>
        <v>0</v>
      </c>
    </row>
    <row r="46" spans="1:13" ht="14.1" customHeight="1" x14ac:dyDescent="0.2">
      <c r="A46" s="205"/>
      <c r="B46" s="327" t="s">
        <v>959</v>
      </c>
      <c r="C46" s="219">
        <v>66</v>
      </c>
      <c r="D46" s="219">
        <v>0</v>
      </c>
      <c r="E46" s="219">
        <v>0</v>
      </c>
      <c r="F46" s="219">
        <v>0</v>
      </c>
      <c r="G46" s="219">
        <v>0</v>
      </c>
      <c r="H46" s="219">
        <v>0</v>
      </c>
      <c r="I46" s="219">
        <v>-66</v>
      </c>
      <c r="J46" s="219">
        <v>0</v>
      </c>
      <c r="K46" s="219">
        <v>0</v>
      </c>
      <c r="L46" s="219">
        <v>0</v>
      </c>
      <c r="M46" s="220">
        <f t="shared" si="10"/>
        <v>0</v>
      </c>
    </row>
    <row r="47" spans="1:13" ht="13.5" customHeight="1" x14ac:dyDescent="0.2">
      <c r="A47" s="205"/>
      <c r="B47" s="426" t="s">
        <v>1425</v>
      </c>
      <c r="C47" s="219">
        <v>-64</v>
      </c>
      <c r="D47" s="219">
        <v>0</v>
      </c>
      <c r="E47" s="219">
        <v>0</v>
      </c>
      <c r="F47" s="219">
        <v>0</v>
      </c>
      <c r="G47" s="219">
        <v>0</v>
      </c>
      <c r="H47" s="219">
        <v>0</v>
      </c>
      <c r="I47" s="219">
        <v>0</v>
      </c>
      <c r="J47" s="219">
        <v>0</v>
      </c>
      <c r="K47" s="219">
        <v>0</v>
      </c>
      <c r="L47" s="219">
        <v>0</v>
      </c>
      <c r="M47" s="220">
        <f t="shared" si="10"/>
        <v>-64</v>
      </c>
    </row>
    <row r="48" spans="1:13" ht="14.1" customHeight="1" x14ac:dyDescent="0.2">
      <c r="A48" s="205"/>
      <c r="B48" s="327" t="s">
        <v>982</v>
      </c>
      <c r="C48" s="219">
        <v>-2912</v>
      </c>
      <c r="D48" s="219">
        <v>0</v>
      </c>
      <c r="E48" s="219">
        <v>0</v>
      </c>
      <c r="F48" s="219">
        <v>0</v>
      </c>
      <c r="G48" s="219">
        <v>0</v>
      </c>
      <c r="H48" s="219">
        <v>0</v>
      </c>
      <c r="I48" s="219">
        <v>0</v>
      </c>
      <c r="J48" s="219">
        <v>0</v>
      </c>
      <c r="K48" s="219">
        <v>0</v>
      </c>
      <c r="L48" s="219">
        <v>0</v>
      </c>
      <c r="M48" s="220">
        <f t="shared" si="10"/>
        <v>-2912</v>
      </c>
    </row>
    <row r="49" spans="1:13" ht="14.1" customHeight="1" thickBot="1" x14ac:dyDescent="0.25">
      <c r="A49" s="205"/>
      <c r="B49" s="289" t="str">
        <f>"Valuation / gross cost at " &amp; TEXT(ComparativeYearEnd, "d mmmm yyyy")</f>
        <v>Valuation / gross cost at 31 March 2021</v>
      </c>
      <c r="C49" s="206">
        <f t="shared" ref="C49:M49" si="11">SUM(C39:C48)</f>
        <v>6024.5912800000006</v>
      </c>
      <c r="D49" s="206">
        <f t="shared" si="11"/>
        <v>1E-4</v>
      </c>
      <c r="E49" s="206">
        <f t="shared" si="11"/>
        <v>0</v>
      </c>
      <c r="F49" s="206">
        <f t="shared" si="11"/>
        <v>4976.10844</v>
      </c>
      <c r="G49" s="206">
        <f t="shared" si="11"/>
        <v>0</v>
      </c>
      <c r="H49" s="206">
        <f t="shared" si="11"/>
        <v>0</v>
      </c>
      <c r="I49" s="206">
        <f t="shared" si="11"/>
        <v>65.853560000000016</v>
      </c>
      <c r="J49" s="206">
        <f t="shared" si="11"/>
        <v>750.47659999999996</v>
      </c>
      <c r="K49" s="206">
        <f t="shared" si="11"/>
        <v>0</v>
      </c>
      <c r="L49" s="206">
        <f t="shared" si="11"/>
        <v>0</v>
      </c>
      <c r="M49" s="206">
        <f t="shared" si="11"/>
        <v>11817.029979999999</v>
      </c>
    </row>
    <row r="50" spans="1:13" ht="12.2" customHeight="1" thickTop="1" x14ac:dyDescent="0.2">
      <c r="A50" s="205"/>
      <c r="B50" s="313"/>
      <c r="C50" s="218"/>
      <c r="D50" s="218"/>
      <c r="E50" s="218"/>
      <c r="F50" s="218"/>
      <c r="G50" s="218"/>
      <c r="H50" s="218"/>
      <c r="I50" s="218"/>
      <c r="J50" s="218"/>
      <c r="K50" s="218"/>
      <c r="L50" s="218"/>
      <c r="M50" s="218"/>
    </row>
    <row r="51" spans="1:13" ht="14.1" customHeight="1" x14ac:dyDescent="0.2">
      <c r="B51" s="316" t="str">
        <f>"Amortisation at " &amp; TEXT(ComparativeYearStart, "d mmmm yyyy") &amp; " - as previously stated"</f>
        <v>Amortisation at 1 April 2020 - as previously stated</v>
      </c>
      <c r="C51" s="220">
        <v>4022.2658499999998</v>
      </c>
      <c r="D51" s="220">
        <v>-1E-4</v>
      </c>
      <c r="E51" s="220">
        <v>0</v>
      </c>
      <c r="F51" s="220">
        <v>4976.10844</v>
      </c>
      <c r="G51" s="220">
        <v>0</v>
      </c>
      <c r="H51" s="220">
        <v>0</v>
      </c>
      <c r="I51" s="220">
        <v>9</v>
      </c>
      <c r="J51" s="220">
        <v>0</v>
      </c>
      <c r="K51" s="220">
        <v>0</v>
      </c>
      <c r="L51" s="220">
        <v>0</v>
      </c>
      <c r="M51" s="220">
        <f t="shared" ref="M51:M52" si="12">SUM(C51:L51)</f>
        <v>9007.3741899999986</v>
      </c>
    </row>
    <row r="52" spans="1:13" ht="14.1" hidden="1" customHeight="1" x14ac:dyDescent="0.2">
      <c r="B52" s="327" t="s">
        <v>542</v>
      </c>
      <c r="C52" s="219">
        <v>0</v>
      </c>
      <c r="D52" s="219">
        <v>0</v>
      </c>
      <c r="E52" s="219">
        <v>0</v>
      </c>
      <c r="F52" s="219">
        <v>0</v>
      </c>
      <c r="G52" s="219">
        <v>0</v>
      </c>
      <c r="H52" s="219">
        <v>0</v>
      </c>
      <c r="I52" s="219">
        <v>0</v>
      </c>
      <c r="J52" s="219">
        <v>0</v>
      </c>
      <c r="K52" s="219">
        <v>0</v>
      </c>
      <c r="L52" s="219">
        <v>0</v>
      </c>
      <c r="M52" s="220">
        <f t="shared" si="12"/>
        <v>0</v>
      </c>
    </row>
    <row r="53" spans="1:13" ht="14.1" hidden="1" customHeight="1" x14ac:dyDescent="0.2">
      <c r="B53" s="316" t="str">
        <f>"Amortisation at " &amp; TEXT(ComparativeYearStart, "d mmmm yyyy") &amp;" - restated"</f>
        <v>Amortisation at 1 April 2020 - restated</v>
      </c>
      <c r="C53" s="207">
        <f t="shared" ref="C53:K53" si="13">SUM(C51:C52)</f>
        <v>4022.2658499999998</v>
      </c>
      <c r="D53" s="207">
        <f t="shared" si="13"/>
        <v>-1E-4</v>
      </c>
      <c r="E53" s="207">
        <f t="shared" si="13"/>
        <v>0</v>
      </c>
      <c r="F53" s="207">
        <f t="shared" si="13"/>
        <v>4976.10844</v>
      </c>
      <c r="G53" s="207">
        <f t="shared" si="13"/>
        <v>0</v>
      </c>
      <c r="H53" s="207">
        <f t="shared" si="13"/>
        <v>0</v>
      </c>
      <c r="I53" s="207">
        <f t="shared" si="13"/>
        <v>9</v>
      </c>
      <c r="J53" s="207">
        <f t="shared" si="13"/>
        <v>0</v>
      </c>
      <c r="K53" s="207">
        <f t="shared" si="13"/>
        <v>0</v>
      </c>
      <c r="L53" s="207">
        <f t="shared" ref="L53" si="14">SUM(L51:L52)</f>
        <v>0</v>
      </c>
      <c r="M53" s="207">
        <f t="shared" ref="M53" si="15">SUM(M51:M52)</f>
        <v>9007.3741899999986</v>
      </c>
    </row>
    <row r="54" spans="1:13" ht="14.1" hidden="1" customHeight="1" x14ac:dyDescent="0.2">
      <c r="B54" s="316" t="s">
        <v>961</v>
      </c>
      <c r="C54" s="220">
        <v>0</v>
      </c>
      <c r="D54" s="220">
        <v>0</v>
      </c>
      <c r="E54" s="220">
        <v>0</v>
      </c>
      <c r="F54" s="220">
        <v>0</v>
      </c>
      <c r="G54" s="220">
        <v>0</v>
      </c>
      <c r="H54" s="220">
        <v>0</v>
      </c>
      <c r="I54" s="220">
        <v>0</v>
      </c>
      <c r="J54" s="220">
        <v>0</v>
      </c>
      <c r="K54" s="220">
        <v>0</v>
      </c>
      <c r="L54" s="220">
        <v>0</v>
      </c>
      <c r="M54" s="220">
        <f t="shared" ref="M54:M62" si="16">SUM(C54:L54)</f>
        <v>0</v>
      </c>
    </row>
    <row r="55" spans="1:13" ht="14.1" hidden="1" customHeight="1" x14ac:dyDescent="0.2">
      <c r="B55" s="327" t="s">
        <v>962</v>
      </c>
      <c r="C55" s="219">
        <v>0</v>
      </c>
      <c r="D55" s="219">
        <v>0</v>
      </c>
      <c r="E55" s="219">
        <v>0</v>
      </c>
      <c r="F55" s="219">
        <v>0</v>
      </c>
      <c r="G55" s="219">
        <v>0</v>
      </c>
      <c r="H55" s="219">
        <v>0</v>
      </c>
      <c r="I55" s="219">
        <v>0</v>
      </c>
      <c r="J55" s="219">
        <v>0</v>
      </c>
      <c r="K55" s="219">
        <v>0</v>
      </c>
      <c r="L55" s="219">
        <v>0</v>
      </c>
      <c r="M55" s="220">
        <f t="shared" si="16"/>
        <v>0</v>
      </c>
    </row>
    <row r="56" spans="1:13" ht="14.1" customHeight="1" x14ac:dyDescent="0.2">
      <c r="B56" s="327" t="s">
        <v>963</v>
      </c>
      <c r="C56" s="219">
        <v>1809</v>
      </c>
      <c r="D56" s="219">
        <v>0</v>
      </c>
      <c r="E56" s="219">
        <v>0</v>
      </c>
      <c r="F56" s="219">
        <v>0</v>
      </c>
      <c r="G56" s="219">
        <v>0</v>
      </c>
      <c r="H56" s="219">
        <v>0</v>
      </c>
      <c r="I56" s="219">
        <v>22</v>
      </c>
      <c r="J56" s="219">
        <v>0</v>
      </c>
      <c r="K56" s="219">
        <v>0</v>
      </c>
      <c r="L56" s="219">
        <v>0</v>
      </c>
      <c r="M56" s="220">
        <f t="shared" si="16"/>
        <v>1831</v>
      </c>
    </row>
    <row r="57" spans="1:13" ht="14.1" hidden="1" customHeight="1" x14ac:dyDescent="0.2">
      <c r="B57" s="327" t="s">
        <v>597</v>
      </c>
      <c r="C57" s="219">
        <v>0</v>
      </c>
      <c r="D57" s="219">
        <v>0</v>
      </c>
      <c r="E57" s="219">
        <v>0</v>
      </c>
      <c r="F57" s="219">
        <v>0</v>
      </c>
      <c r="G57" s="219">
        <v>0</v>
      </c>
      <c r="H57" s="219">
        <v>0</v>
      </c>
      <c r="I57" s="219">
        <v>0</v>
      </c>
      <c r="J57" s="219">
        <v>0</v>
      </c>
      <c r="K57" s="219">
        <v>0</v>
      </c>
      <c r="L57" s="219">
        <v>0</v>
      </c>
      <c r="M57" s="220">
        <f t="shared" si="16"/>
        <v>0</v>
      </c>
    </row>
    <row r="58" spans="1:13" ht="14.1" hidden="1" customHeight="1" x14ac:dyDescent="0.2">
      <c r="B58" s="327" t="s">
        <v>957</v>
      </c>
      <c r="C58" s="219">
        <v>0</v>
      </c>
      <c r="D58" s="219">
        <v>0</v>
      </c>
      <c r="E58" s="219">
        <v>0</v>
      </c>
      <c r="F58" s="219">
        <v>0</v>
      </c>
      <c r="G58" s="219">
        <v>0</v>
      </c>
      <c r="H58" s="219">
        <v>0</v>
      </c>
      <c r="I58" s="219">
        <v>0</v>
      </c>
      <c r="J58" s="219">
        <v>0</v>
      </c>
      <c r="K58" s="219">
        <v>0</v>
      </c>
      <c r="L58" s="219">
        <v>0</v>
      </c>
      <c r="M58" s="220">
        <f t="shared" si="16"/>
        <v>0</v>
      </c>
    </row>
    <row r="59" spans="1:13" ht="14.1" hidden="1" customHeight="1" x14ac:dyDescent="0.2">
      <c r="B59" s="327" t="s">
        <v>958</v>
      </c>
      <c r="C59" s="219">
        <v>0</v>
      </c>
      <c r="D59" s="219">
        <v>0</v>
      </c>
      <c r="E59" s="219">
        <v>0</v>
      </c>
      <c r="F59" s="219">
        <v>0</v>
      </c>
      <c r="G59" s="219">
        <v>0</v>
      </c>
      <c r="H59" s="219">
        <v>0</v>
      </c>
      <c r="I59" s="219">
        <v>0</v>
      </c>
      <c r="J59" s="219">
        <v>0</v>
      </c>
      <c r="K59" s="219">
        <v>0</v>
      </c>
      <c r="L59" s="219">
        <v>0</v>
      </c>
      <c r="M59" s="220">
        <f t="shared" si="16"/>
        <v>0</v>
      </c>
    </row>
    <row r="60" spans="1:13" ht="14.1" customHeight="1" x14ac:dyDescent="0.2">
      <c r="B60" s="327" t="s">
        <v>959</v>
      </c>
      <c r="C60" s="219">
        <v>9</v>
      </c>
      <c r="D60" s="219">
        <v>0</v>
      </c>
      <c r="E60" s="219">
        <v>0</v>
      </c>
      <c r="F60" s="219">
        <v>0</v>
      </c>
      <c r="G60" s="219">
        <v>0</v>
      </c>
      <c r="H60" s="219">
        <v>0</v>
      </c>
      <c r="I60" s="219">
        <v>-9</v>
      </c>
      <c r="J60" s="219">
        <v>0</v>
      </c>
      <c r="K60" s="219">
        <v>0</v>
      </c>
      <c r="L60" s="219">
        <v>0</v>
      </c>
      <c r="M60" s="220">
        <f t="shared" si="16"/>
        <v>0</v>
      </c>
    </row>
    <row r="61" spans="1:13" ht="13.5" customHeight="1" x14ac:dyDescent="0.2">
      <c r="B61" s="426" t="s">
        <v>1425</v>
      </c>
      <c r="C61" s="219">
        <v>-73</v>
      </c>
      <c r="D61" s="219">
        <v>0</v>
      </c>
      <c r="E61" s="219">
        <v>0</v>
      </c>
      <c r="F61" s="219">
        <v>0</v>
      </c>
      <c r="G61" s="219">
        <v>0</v>
      </c>
      <c r="H61" s="219">
        <v>0</v>
      </c>
      <c r="I61" s="219">
        <v>0</v>
      </c>
      <c r="J61" s="219">
        <v>0</v>
      </c>
      <c r="K61" s="219">
        <v>0</v>
      </c>
      <c r="L61" s="219">
        <v>0</v>
      </c>
      <c r="M61" s="220">
        <f t="shared" si="16"/>
        <v>-73</v>
      </c>
    </row>
    <row r="62" spans="1:13" ht="14.1" customHeight="1" x14ac:dyDescent="0.2">
      <c r="B62" s="327" t="s">
        <v>1446</v>
      </c>
      <c r="C62" s="219">
        <v>-2912</v>
      </c>
      <c r="D62" s="219">
        <v>0</v>
      </c>
      <c r="E62" s="219">
        <v>0</v>
      </c>
      <c r="F62" s="219">
        <v>0</v>
      </c>
      <c r="G62" s="219">
        <v>0</v>
      </c>
      <c r="H62" s="219">
        <v>0</v>
      </c>
      <c r="I62" s="219">
        <v>0</v>
      </c>
      <c r="J62" s="219">
        <v>0</v>
      </c>
      <c r="K62" s="219">
        <v>0</v>
      </c>
      <c r="L62" s="219">
        <v>0</v>
      </c>
      <c r="M62" s="220">
        <f t="shared" si="16"/>
        <v>-2912</v>
      </c>
    </row>
    <row r="63" spans="1:13" ht="14.1" customHeight="1" thickBot="1" x14ac:dyDescent="0.25">
      <c r="B63" s="289" t="str">
        <f>"Amortisation at " &amp;TEXT(ComparativeYearEnd, "d mmmm yyyy")</f>
        <v>Amortisation at 31 March 2021</v>
      </c>
      <c r="C63" s="206">
        <f t="shared" ref="C63:M63" si="17">SUM(C53:C62)</f>
        <v>2855.2658499999998</v>
      </c>
      <c r="D63" s="206">
        <f t="shared" si="17"/>
        <v>-1E-4</v>
      </c>
      <c r="E63" s="206">
        <f t="shared" si="17"/>
        <v>0</v>
      </c>
      <c r="F63" s="206">
        <f t="shared" si="17"/>
        <v>4976.10844</v>
      </c>
      <c r="G63" s="206">
        <f t="shared" si="17"/>
        <v>0</v>
      </c>
      <c r="H63" s="206">
        <f t="shared" si="17"/>
        <v>0</v>
      </c>
      <c r="I63" s="206">
        <f t="shared" si="17"/>
        <v>22</v>
      </c>
      <c r="J63" s="206">
        <f t="shared" si="17"/>
        <v>0</v>
      </c>
      <c r="K63" s="206">
        <f t="shared" si="17"/>
        <v>0</v>
      </c>
      <c r="L63" s="206">
        <f t="shared" si="17"/>
        <v>0</v>
      </c>
      <c r="M63" s="206">
        <f t="shared" si="17"/>
        <v>7853.3741899999986</v>
      </c>
    </row>
    <row r="64" spans="1:13" ht="9.75" customHeight="1" thickTop="1" x14ac:dyDescent="0.2">
      <c r="B64" s="313"/>
      <c r="C64" s="218"/>
      <c r="D64" s="218"/>
      <c r="E64" s="218"/>
      <c r="F64" s="218"/>
      <c r="G64" s="218"/>
      <c r="H64" s="218"/>
      <c r="I64" s="218"/>
      <c r="J64" s="218"/>
      <c r="K64" s="218"/>
      <c r="L64" s="218"/>
      <c r="M64" s="218"/>
    </row>
    <row r="65" spans="2:13" ht="14.1" customHeight="1" x14ac:dyDescent="0.2">
      <c r="B65" s="316" t="str">
        <f>"Net book value at "&amp;TEXT(ComparativeYearEnd, "d mmmm yyyy")</f>
        <v>Net book value at 31 March 2021</v>
      </c>
      <c r="C65" s="220">
        <f t="shared" ref="C65:L65" si="18">C49-C63</f>
        <v>3169.3254300000008</v>
      </c>
      <c r="D65" s="220">
        <f t="shared" si="18"/>
        <v>2.0000000000000001E-4</v>
      </c>
      <c r="E65" s="220">
        <f t="shared" si="18"/>
        <v>0</v>
      </c>
      <c r="F65" s="220">
        <f t="shared" si="18"/>
        <v>0</v>
      </c>
      <c r="G65" s="220">
        <f t="shared" si="18"/>
        <v>0</v>
      </c>
      <c r="H65" s="220">
        <f t="shared" si="18"/>
        <v>0</v>
      </c>
      <c r="I65" s="220">
        <f t="shared" si="18"/>
        <v>43.853560000000016</v>
      </c>
      <c r="J65" s="220">
        <f t="shared" si="18"/>
        <v>750.47659999999996</v>
      </c>
      <c r="K65" s="220">
        <f t="shared" si="18"/>
        <v>0</v>
      </c>
      <c r="L65" s="220">
        <f t="shared" si="18"/>
        <v>0</v>
      </c>
      <c r="M65" s="220">
        <f>SUM(C65:L65)</f>
        <v>3963.6557900000007</v>
      </c>
    </row>
    <row r="66" spans="2:13" ht="14.1" customHeight="1" x14ac:dyDescent="0.2">
      <c r="B66" s="316" t="str">
        <f>"Net book value at "&amp; TEXT(ComparativeYearStart, "d mmmm yyyy")</f>
        <v>Net book value at 1 April 2020</v>
      </c>
      <c r="C66" s="220">
        <f t="shared" ref="C66:L66" si="19">C39-C53</f>
        <v>3335.3254299999999</v>
      </c>
      <c r="D66" s="220">
        <f t="shared" si="19"/>
        <v>2.0000000000000001E-4</v>
      </c>
      <c r="E66" s="220">
        <f t="shared" si="19"/>
        <v>0</v>
      </c>
      <c r="F66" s="220">
        <f t="shared" si="19"/>
        <v>0</v>
      </c>
      <c r="G66" s="220">
        <f t="shared" si="19"/>
        <v>0</v>
      </c>
      <c r="H66" s="220">
        <f t="shared" si="19"/>
        <v>0</v>
      </c>
      <c r="I66" s="220">
        <f t="shared" si="19"/>
        <v>56.853560000000002</v>
      </c>
      <c r="J66" s="220">
        <f t="shared" si="19"/>
        <v>209.47659999999999</v>
      </c>
      <c r="K66" s="220">
        <f t="shared" si="19"/>
        <v>0</v>
      </c>
      <c r="L66" s="220">
        <f t="shared" si="19"/>
        <v>0</v>
      </c>
      <c r="M66" s="220">
        <f>SUM(C66:L66)</f>
        <v>3601.6557899999998</v>
      </c>
    </row>
    <row r="67" spans="2:13" ht="14.1" customHeight="1" x14ac:dyDescent="0.2">
      <c r="B67" s="313"/>
      <c r="C67" s="172"/>
      <c r="D67" s="172"/>
      <c r="E67" s="172"/>
      <c r="F67" s="172"/>
      <c r="G67" s="172"/>
      <c r="H67" s="172"/>
      <c r="I67" s="172"/>
      <c r="J67" s="172"/>
      <c r="K67" s="172"/>
      <c r="L67" s="172"/>
      <c r="M67" s="172"/>
    </row>
    <row r="68" spans="2:13" ht="14.1" customHeight="1" x14ac:dyDescent="0.2">
      <c r="B68" s="313"/>
      <c r="C68" s="325"/>
      <c r="D68" s="325"/>
      <c r="E68" s="325"/>
      <c r="F68" s="325"/>
      <c r="G68" s="325"/>
      <c r="H68" s="325"/>
      <c r="I68" s="325"/>
      <c r="J68" s="325"/>
      <c r="K68" s="325"/>
      <c r="L68" s="325"/>
      <c r="M68" s="325"/>
    </row>
    <row r="69" spans="2:13" ht="14.1" customHeight="1" x14ac:dyDescent="0.2">
      <c r="B69" s="325"/>
      <c r="C69" s="325"/>
      <c r="D69" s="325"/>
      <c r="E69" s="325"/>
      <c r="F69" s="325"/>
      <c r="G69" s="325"/>
      <c r="H69" s="325"/>
      <c r="I69" s="325"/>
      <c r="J69" s="325"/>
      <c r="K69" s="325"/>
      <c r="L69" s="325"/>
      <c r="M69" s="325"/>
    </row>
  </sheetData>
  <pageMargins left="0.70866141732283472" right="0.70866141732283472" top="0.74803149606299213" bottom="0.74803149606299213" header="0.31496062992125984" footer="0.31496062992125984"/>
  <pageSetup paperSize="9" scale="72" orientation="portrait" verticalDpi="0" r:id="rId1"/>
  <headerFooter>
    <oddFooter>&amp;RPage &amp;P of &amp;N</oddFooter>
  </headerFooter>
  <rowBreaks count="1" manualBreakCount="1">
    <brk id="33" max="16383" man="1"/>
  </rowBreaks>
  <ignoredErrors>
    <ignoredError sqref="C5:M5 C36:M36"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1">
    <tabColor theme="8" tint="0.39997558519241921"/>
    <pageSetUpPr fitToPage="1"/>
  </sheetPr>
  <dimension ref="A1:L69"/>
  <sheetViews>
    <sheetView showGridLines="0" topLeftCell="A21" zoomScaleNormal="100" workbookViewId="0">
      <selection activeCell="R37" sqref="R37"/>
    </sheetView>
  </sheetViews>
  <sheetFormatPr defaultColWidth="9.140625" defaultRowHeight="14.1" customHeight="1" x14ac:dyDescent="0.2"/>
  <cols>
    <col min="1" max="1" width="1.28515625" style="38" customWidth="1"/>
    <col min="2" max="2" width="51.7109375" style="16" customWidth="1"/>
    <col min="3" max="3" width="11.140625" style="16" customWidth="1"/>
    <col min="4" max="5" width="11.140625" style="16" hidden="1" customWidth="1"/>
    <col min="6" max="6" width="11.140625" style="16" customWidth="1"/>
    <col min="7" max="7" width="11.42578125" style="16" hidden="1" customWidth="1"/>
    <col min="8" max="8" width="11.140625" style="16" hidden="1" customWidth="1"/>
    <col min="9" max="9" width="8.7109375" style="16" bestFit="1" customWidth="1"/>
    <col min="10" max="10" width="11.140625" style="16" customWidth="1"/>
    <col min="11" max="11" width="11.140625" style="145" hidden="1" customWidth="1"/>
    <col min="12" max="12" width="11.140625" style="16" customWidth="1"/>
    <col min="13" max="16384" width="9.140625" style="16"/>
  </cols>
  <sheetData>
    <row r="1" spans="1:12" s="313" customFormat="1" ht="14.1" customHeight="1" x14ac:dyDescent="0.2">
      <c r="A1" s="350" t="s">
        <v>1310</v>
      </c>
      <c r="B1" s="351"/>
      <c r="C1" s="351"/>
      <c r="D1" s="351"/>
      <c r="E1" s="351"/>
      <c r="F1" s="351"/>
      <c r="G1" s="351"/>
      <c r="H1" s="351"/>
      <c r="I1" s="351"/>
      <c r="J1" s="351"/>
      <c r="K1" s="351"/>
      <c r="L1" s="351"/>
    </row>
    <row r="2" spans="1:12" s="313" customFormat="1" ht="14.1" customHeight="1" x14ac:dyDescent="0.2">
      <c r="A2" s="205"/>
    </row>
    <row r="3" spans="1:12" ht="14.1" customHeight="1" x14ac:dyDescent="0.2">
      <c r="A3" s="205">
        <f>ROUNDDOWN('Intangibles (group)'!A3,0)+1.1</f>
        <v>15.1</v>
      </c>
      <c r="B3" s="316" t="str">
        <f>"Note " &amp;A3&amp; " Intangible assets - " &amp; CurrentFY</f>
        <v>Note 15.1 Intangible assets - 2021/22</v>
      </c>
      <c r="C3" s="313"/>
      <c r="D3" s="313"/>
      <c r="E3" s="313"/>
      <c r="F3" s="313"/>
      <c r="G3" s="313"/>
      <c r="H3" s="313"/>
      <c r="I3" s="313"/>
      <c r="J3" s="313"/>
      <c r="K3" s="313"/>
      <c r="L3" s="313"/>
    </row>
    <row r="4" spans="1:12" ht="60" x14ac:dyDescent="0.2">
      <c r="A4" s="205"/>
      <c r="B4" s="316" t="s">
        <v>94</v>
      </c>
      <c r="C4" s="290" t="s">
        <v>949</v>
      </c>
      <c r="D4" s="290" t="s">
        <v>706</v>
      </c>
      <c r="E4" s="290" t="s">
        <v>707</v>
      </c>
      <c r="F4" s="290" t="s">
        <v>950</v>
      </c>
      <c r="G4" s="290" t="s">
        <v>703</v>
      </c>
      <c r="H4" s="290" t="s">
        <v>709</v>
      </c>
      <c r="I4" s="290" t="s">
        <v>704</v>
      </c>
      <c r="J4" s="290" t="s">
        <v>951</v>
      </c>
      <c r="K4" s="290" t="s">
        <v>708</v>
      </c>
      <c r="L4" s="290" t="s">
        <v>953</v>
      </c>
    </row>
    <row r="5" spans="1:12" ht="14.1" customHeight="1" x14ac:dyDescent="0.2">
      <c r="A5" s="205"/>
      <c r="B5" s="316"/>
      <c r="C5" s="290" t="s">
        <v>590</v>
      </c>
      <c r="D5" s="290" t="s">
        <v>590</v>
      </c>
      <c r="E5" s="290" t="s">
        <v>590</v>
      </c>
      <c r="F5" s="290" t="s">
        <v>590</v>
      </c>
      <c r="G5" s="290" t="s">
        <v>590</v>
      </c>
      <c r="H5" s="290" t="s">
        <v>590</v>
      </c>
      <c r="I5" s="290" t="s">
        <v>590</v>
      </c>
      <c r="J5" s="290" t="s">
        <v>590</v>
      </c>
      <c r="K5" s="290" t="s">
        <v>590</v>
      </c>
      <c r="L5" s="290" t="s">
        <v>590</v>
      </c>
    </row>
    <row r="6" spans="1:12" ht="12" x14ac:dyDescent="0.2">
      <c r="A6" s="205"/>
      <c r="B6" s="316" t="str">
        <f>"Valuation / gross cost at " &amp; TEXT(CurrentYearStart,"d mmmm yyyy") &amp; " - brought forward"</f>
        <v>Valuation / gross cost at 1 April 2021 - brought forward</v>
      </c>
      <c r="C6" s="220">
        <f>+'Intangibles (group)'!C6</f>
        <v>6024.5912800000006</v>
      </c>
      <c r="D6" s="220">
        <f>+'Intangibles (group)'!D6</f>
        <v>1E-4</v>
      </c>
      <c r="E6" s="220">
        <f>+'Intangibles (group)'!E6</f>
        <v>0</v>
      </c>
      <c r="F6" s="220">
        <f>+'Intangibles (group)'!F6</f>
        <v>4976.10844</v>
      </c>
      <c r="G6" s="220">
        <f>+'Intangibles (group)'!G6</f>
        <v>0</v>
      </c>
      <c r="H6" s="220">
        <f>+'Intangibles (group)'!H6</f>
        <v>0</v>
      </c>
      <c r="I6" s="220">
        <f>+'Intangibles (group)'!I6</f>
        <v>65.853560000000016</v>
      </c>
      <c r="J6" s="220">
        <f>+'Intangibles (group)'!J6</f>
        <v>750.47659999999996</v>
      </c>
      <c r="K6" s="220">
        <f>+'Intangibles (group)'!K6</f>
        <v>0</v>
      </c>
      <c r="L6" s="220">
        <f>SUM(C6:K6)</f>
        <v>11817.029980000001</v>
      </c>
    </row>
    <row r="7" spans="1:12" ht="12" hidden="1" x14ac:dyDescent="0.2">
      <c r="A7" s="205"/>
      <c r="B7" s="316" t="s">
        <v>954</v>
      </c>
      <c r="C7" s="220">
        <f>+'Intangibles (group)'!C7</f>
        <v>0</v>
      </c>
      <c r="D7" s="220">
        <f>+'Intangibles (group)'!D7</f>
        <v>0</v>
      </c>
      <c r="E7" s="220">
        <f>+'Intangibles (group)'!E7</f>
        <v>0</v>
      </c>
      <c r="F7" s="220">
        <f>+'Intangibles (group)'!F7</f>
        <v>0</v>
      </c>
      <c r="G7" s="220">
        <f>+'Intangibles (group)'!G7</f>
        <v>0</v>
      </c>
      <c r="H7" s="220">
        <f>+'Intangibles (group)'!H7</f>
        <v>0</v>
      </c>
      <c r="I7" s="220">
        <f>+'Intangibles (group)'!I7</f>
        <v>0</v>
      </c>
      <c r="J7" s="220">
        <f>+'Intangibles (group)'!J7</f>
        <v>0</v>
      </c>
      <c r="K7" s="220">
        <f>+'Intangibles (group)'!K7</f>
        <v>0</v>
      </c>
      <c r="L7" s="220">
        <f t="shared" ref="L7:L15" si="0">SUM(C7:K7)</f>
        <v>0</v>
      </c>
    </row>
    <row r="8" spans="1:12" ht="14.1" hidden="1" customHeight="1" x14ac:dyDescent="0.2">
      <c r="A8" s="205"/>
      <c r="B8" s="327" t="s">
        <v>955</v>
      </c>
      <c r="C8" s="220">
        <f>+'Intangibles (group)'!C8</f>
        <v>0</v>
      </c>
      <c r="D8" s="220">
        <f>+'Intangibles (group)'!D8</f>
        <v>0</v>
      </c>
      <c r="E8" s="220">
        <f>+'Intangibles (group)'!E8</f>
        <v>0</v>
      </c>
      <c r="F8" s="220">
        <f>+'Intangibles (group)'!F8</f>
        <v>0</v>
      </c>
      <c r="G8" s="220">
        <f>+'Intangibles (group)'!G8</f>
        <v>0</v>
      </c>
      <c r="H8" s="220">
        <f>+'Intangibles (group)'!H8</f>
        <v>0</v>
      </c>
      <c r="I8" s="220">
        <f>+'Intangibles (group)'!I8</f>
        <v>0</v>
      </c>
      <c r="J8" s="220">
        <f>+'Intangibles (group)'!J8</f>
        <v>0</v>
      </c>
      <c r="K8" s="220">
        <f>+'Intangibles (group)'!K8</f>
        <v>0</v>
      </c>
      <c r="L8" s="220">
        <f t="shared" si="0"/>
        <v>0</v>
      </c>
    </row>
    <row r="9" spans="1:12" ht="14.1" customHeight="1" x14ac:dyDescent="0.2">
      <c r="A9" s="205"/>
      <c r="B9" s="327" t="s">
        <v>956</v>
      </c>
      <c r="C9" s="220">
        <f>+'Intangibles (group)'!C9</f>
        <v>319</v>
      </c>
      <c r="D9" s="220">
        <f>+'Intangibles (group)'!D9</f>
        <v>0</v>
      </c>
      <c r="E9" s="220">
        <f>+'Intangibles (group)'!E9</f>
        <v>0</v>
      </c>
      <c r="F9" s="220">
        <f>+'Intangibles (group)'!F9</f>
        <v>0</v>
      </c>
      <c r="G9" s="220">
        <f>+'Intangibles (group)'!G9</f>
        <v>0</v>
      </c>
      <c r="H9" s="220">
        <f>+'Intangibles (group)'!H9</f>
        <v>0</v>
      </c>
      <c r="I9" s="220">
        <f>+'Intangibles (group)'!I9</f>
        <v>0</v>
      </c>
      <c r="J9" s="220">
        <f>+'Intangibles (group)'!J9</f>
        <v>1196</v>
      </c>
      <c r="K9" s="220">
        <f>+'Intangibles (group)'!K9</f>
        <v>0</v>
      </c>
      <c r="L9" s="220">
        <f t="shared" si="0"/>
        <v>1515</v>
      </c>
    </row>
    <row r="10" spans="1:12" ht="14.1" customHeight="1" x14ac:dyDescent="0.2">
      <c r="A10" s="205"/>
      <c r="B10" s="327" t="s">
        <v>597</v>
      </c>
      <c r="C10" s="220">
        <f>+'Intangibles (group)'!C10</f>
        <v>-207</v>
      </c>
      <c r="D10" s="220">
        <f>+'Intangibles (group)'!D10</f>
        <v>0</v>
      </c>
      <c r="E10" s="220">
        <f>+'Intangibles (group)'!E10</f>
        <v>0</v>
      </c>
      <c r="F10" s="220">
        <f>+'Intangibles (group)'!F10</f>
        <v>0</v>
      </c>
      <c r="G10" s="220">
        <f>+'Intangibles (group)'!G10</f>
        <v>0</v>
      </c>
      <c r="H10" s="220">
        <f>+'Intangibles (group)'!H10</f>
        <v>0</v>
      </c>
      <c r="I10" s="220">
        <f>+'Intangibles (group)'!I10</f>
        <v>0</v>
      </c>
      <c r="J10" s="220">
        <f>+'Intangibles (group)'!J10</f>
        <v>0</v>
      </c>
      <c r="K10" s="220">
        <f>+'Intangibles (group)'!K10</f>
        <v>0</v>
      </c>
      <c r="L10" s="220">
        <f t="shared" si="0"/>
        <v>-207</v>
      </c>
    </row>
    <row r="11" spans="1:12" ht="14.1" hidden="1" customHeight="1" x14ac:dyDescent="0.2">
      <c r="A11" s="205"/>
      <c r="B11" s="327" t="s">
        <v>957</v>
      </c>
      <c r="C11" s="220">
        <f>+'Intangibles (group)'!C11</f>
        <v>0</v>
      </c>
      <c r="D11" s="220">
        <f>+'Intangibles (group)'!D11</f>
        <v>0</v>
      </c>
      <c r="E11" s="220">
        <f>+'Intangibles (group)'!E11</f>
        <v>0</v>
      </c>
      <c r="F11" s="220">
        <f>+'Intangibles (group)'!F11</f>
        <v>0</v>
      </c>
      <c r="G11" s="220">
        <f>+'Intangibles (group)'!G11</f>
        <v>0</v>
      </c>
      <c r="H11" s="220">
        <f>+'Intangibles (group)'!H11</f>
        <v>0</v>
      </c>
      <c r="I11" s="220">
        <f>+'Intangibles (group)'!I11</f>
        <v>0</v>
      </c>
      <c r="J11" s="220">
        <f>+'Intangibles (group)'!J11</f>
        <v>0</v>
      </c>
      <c r="K11" s="220">
        <f>+'Intangibles (group)'!K11</f>
        <v>0</v>
      </c>
      <c r="L11" s="220">
        <f t="shared" si="0"/>
        <v>0</v>
      </c>
    </row>
    <row r="12" spans="1:12" ht="14.1" hidden="1" customHeight="1" x14ac:dyDescent="0.2">
      <c r="A12" s="205"/>
      <c r="B12" s="327" t="s">
        <v>958</v>
      </c>
      <c r="C12" s="220">
        <f>+'Intangibles (group)'!C12</f>
        <v>0</v>
      </c>
      <c r="D12" s="220">
        <f>+'Intangibles (group)'!D12</f>
        <v>0</v>
      </c>
      <c r="E12" s="220">
        <f>+'Intangibles (group)'!E12</f>
        <v>0</v>
      </c>
      <c r="F12" s="220">
        <f>+'Intangibles (group)'!F12</f>
        <v>0</v>
      </c>
      <c r="G12" s="220">
        <f>+'Intangibles (group)'!G12</f>
        <v>0</v>
      </c>
      <c r="H12" s="220">
        <f>+'Intangibles (group)'!H12</f>
        <v>0</v>
      </c>
      <c r="I12" s="220">
        <f>+'Intangibles (group)'!I12</f>
        <v>0</v>
      </c>
      <c r="J12" s="220">
        <f>+'Intangibles (group)'!J12</f>
        <v>0</v>
      </c>
      <c r="K12" s="220">
        <f>+'Intangibles (group)'!K12</f>
        <v>0</v>
      </c>
      <c r="L12" s="220">
        <f t="shared" si="0"/>
        <v>0</v>
      </c>
    </row>
    <row r="13" spans="1:12" ht="14.1" hidden="1" customHeight="1" x14ac:dyDescent="0.2">
      <c r="A13" s="205"/>
      <c r="B13" s="327" t="s">
        <v>959</v>
      </c>
      <c r="C13" s="220">
        <f>+'Intangibles (group)'!C13</f>
        <v>0</v>
      </c>
      <c r="D13" s="220">
        <f>+'Intangibles (group)'!D13</f>
        <v>0</v>
      </c>
      <c r="E13" s="220">
        <f>+'Intangibles (group)'!E13</f>
        <v>0</v>
      </c>
      <c r="F13" s="220">
        <f>+'Intangibles (group)'!F13</f>
        <v>0</v>
      </c>
      <c r="G13" s="220">
        <f>+'Intangibles (group)'!G13</f>
        <v>0</v>
      </c>
      <c r="H13" s="220">
        <f>+'Intangibles (group)'!H13</f>
        <v>0</v>
      </c>
      <c r="I13" s="220">
        <f>+'Intangibles (group)'!I13</f>
        <v>0</v>
      </c>
      <c r="J13" s="220">
        <f>+'Intangibles (group)'!J13</f>
        <v>0</v>
      </c>
      <c r="K13" s="220">
        <f>+'Intangibles (group)'!K13</f>
        <v>0</v>
      </c>
      <c r="L13" s="220">
        <f t="shared" si="0"/>
        <v>0</v>
      </c>
    </row>
    <row r="14" spans="1:12" ht="12" x14ac:dyDescent="0.2">
      <c r="A14" s="205"/>
      <c r="B14" s="426" t="s">
        <v>1426</v>
      </c>
      <c r="C14" s="220">
        <f>+'Intangibles (group)'!C14</f>
        <v>30</v>
      </c>
      <c r="D14" s="220">
        <f>+'Intangibles (group)'!D14</f>
        <v>0</v>
      </c>
      <c r="E14" s="220">
        <f>+'Intangibles (group)'!E14</f>
        <v>0</v>
      </c>
      <c r="F14" s="220">
        <f>+'Intangibles (group)'!F14</f>
        <v>0</v>
      </c>
      <c r="G14" s="220">
        <f>+'Intangibles (group)'!G14</f>
        <v>0</v>
      </c>
      <c r="H14" s="220">
        <f>+'Intangibles (group)'!H14</f>
        <v>0</v>
      </c>
      <c r="I14" s="220">
        <f>+'Intangibles (group)'!I14</f>
        <v>0</v>
      </c>
      <c r="J14" s="220">
        <f>+'Intangibles (group)'!J14</f>
        <v>0</v>
      </c>
      <c r="K14" s="220">
        <f>+'Intangibles (group)'!K14</f>
        <v>0</v>
      </c>
      <c r="L14" s="220">
        <f t="shared" si="0"/>
        <v>30</v>
      </c>
    </row>
    <row r="15" spans="1:12" ht="14.1" customHeight="1" x14ac:dyDescent="0.2">
      <c r="A15" s="205"/>
      <c r="B15" s="327" t="s">
        <v>982</v>
      </c>
      <c r="C15" s="220">
        <f>+'Intangibles (group)'!C15</f>
        <v>-387</v>
      </c>
      <c r="D15" s="220">
        <f>+'Intangibles (group)'!D15</f>
        <v>0</v>
      </c>
      <c r="E15" s="220">
        <f>+'Intangibles (group)'!E15</f>
        <v>0</v>
      </c>
      <c r="F15" s="220">
        <f>+'Intangibles (group)'!F15</f>
        <v>0</v>
      </c>
      <c r="G15" s="220">
        <f>+'Intangibles (group)'!G15</f>
        <v>0</v>
      </c>
      <c r="H15" s="220">
        <f>+'Intangibles (group)'!H15</f>
        <v>0</v>
      </c>
      <c r="I15" s="220">
        <f>+'Intangibles (group)'!I15</f>
        <v>0</v>
      </c>
      <c r="J15" s="220">
        <f>+'Intangibles (group)'!J15</f>
        <v>0</v>
      </c>
      <c r="K15" s="220">
        <f>+'Intangibles (group)'!K15</f>
        <v>0</v>
      </c>
      <c r="L15" s="220">
        <f t="shared" si="0"/>
        <v>-387</v>
      </c>
    </row>
    <row r="16" spans="1:12" ht="14.1" customHeight="1" thickBot="1" x14ac:dyDescent="0.25">
      <c r="A16" s="205"/>
      <c r="B16" s="289" t="str">
        <f>"Valuation / gross cost at " &amp; TEXT(CurrentYearEnd, "d mmmm yyyy")</f>
        <v>Valuation / gross cost at 31 March 2022</v>
      </c>
      <c r="C16" s="206">
        <f t="shared" ref="C16:L16" si="1">SUM(C6:C15)</f>
        <v>5779.5912800000006</v>
      </c>
      <c r="D16" s="206">
        <f t="shared" si="1"/>
        <v>1E-4</v>
      </c>
      <c r="E16" s="206">
        <f t="shared" si="1"/>
        <v>0</v>
      </c>
      <c r="F16" s="206">
        <f t="shared" si="1"/>
        <v>4976.10844</v>
      </c>
      <c r="G16" s="206">
        <f t="shared" si="1"/>
        <v>0</v>
      </c>
      <c r="H16" s="206">
        <f t="shared" si="1"/>
        <v>0</v>
      </c>
      <c r="I16" s="206">
        <f t="shared" si="1"/>
        <v>65.853560000000016</v>
      </c>
      <c r="J16" s="206">
        <f t="shared" si="1"/>
        <v>1946.4766</v>
      </c>
      <c r="K16" s="206">
        <f t="shared" si="1"/>
        <v>0</v>
      </c>
      <c r="L16" s="206">
        <f t="shared" si="1"/>
        <v>12768.029980000001</v>
      </c>
    </row>
    <row r="17" spans="1:12" ht="14.1" customHeight="1" thickTop="1" x14ac:dyDescent="0.2">
      <c r="A17" s="205"/>
      <c r="B17" s="316"/>
      <c r="C17" s="203"/>
      <c r="D17" s="203"/>
      <c r="E17" s="203"/>
      <c r="F17" s="203"/>
      <c r="G17" s="203"/>
      <c r="H17" s="203"/>
      <c r="I17" s="203"/>
      <c r="J17" s="203"/>
      <c r="K17" s="203"/>
      <c r="L17" s="187"/>
    </row>
    <row r="18" spans="1:12" ht="14.1" customHeight="1" x14ac:dyDescent="0.2">
      <c r="A18" s="205"/>
      <c r="B18" s="316" t="str">
        <f>"Amortisation at " &amp; TEXT(CurrentYearStart,"d mmmm yyyy") &amp; " - brought forward"</f>
        <v>Amortisation at 1 April 2021 - brought forward</v>
      </c>
      <c r="C18" s="220">
        <f>+'Intangibles (group)'!C18</f>
        <v>2855.2658499999998</v>
      </c>
      <c r="D18" s="220">
        <f>+'Intangibles (group)'!D18</f>
        <v>-1E-4</v>
      </c>
      <c r="E18" s="220">
        <f>+'Intangibles (group)'!E18</f>
        <v>0</v>
      </c>
      <c r="F18" s="220">
        <f>+'Intangibles (group)'!F18</f>
        <v>4976.10844</v>
      </c>
      <c r="G18" s="220">
        <f>+'Intangibles (group)'!G18</f>
        <v>0</v>
      </c>
      <c r="H18" s="220">
        <f>+'Intangibles (group)'!H18</f>
        <v>0</v>
      </c>
      <c r="I18" s="220">
        <f>+'Intangibles (group)'!I18</f>
        <v>22</v>
      </c>
      <c r="J18" s="220">
        <f>+'Intangibles (group)'!J18</f>
        <v>0</v>
      </c>
      <c r="K18" s="220">
        <f>+'Intangibles (group)'!K18</f>
        <v>0</v>
      </c>
      <c r="L18" s="220">
        <f t="shared" ref="L18:L27" si="2">SUM(C18:K18)</f>
        <v>7853.3741899999995</v>
      </c>
    </row>
    <row r="19" spans="1:12" ht="14.1" hidden="1" customHeight="1" x14ac:dyDescent="0.2">
      <c r="A19" s="205"/>
      <c r="B19" s="316" t="s">
        <v>961</v>
      </c>
      <c r="C19" s="220">
        <f>+'Intangibles (group)'!C19</f>
        <v>0</v>
      </c>
      <c r="D19" s="220">
        <f>+'Intangibles (group)'!D19</f>
        <v>0</v>
      </c>
      <c r="E19" s="220">
        <f>+'Intangibles (group)'!E19</f>
        <v>0</v>
      </c>
      <c r="F19" s="220">
        <f>+'Intangibles (group)'!F19</f>
        <v>0</v>
      </c>
      <c r="G19" s="220">
        <f>+'Intangibles (group)'!G19</f>
        <v>0</v>
      </c>
      <c r="H19" s="220">
        <f>+'Intangibles (group)'!H19</f>
        <v>0</v>
      </c>
      <c r="I19" s="220">
        <f>+'Intangibles (group)'!I19</f>
        <v>0</v>
      </c>
      <c r="J19" s="220">
        <f>+'Intangibles (group)'!J19</f>
        <v>0</v>
      </c>
      <c r="K19" s="220">
        <f>+'Intangibles (group)'!K19</f>
        <v>0</v>
      </c>
      <c r="L19" s="220">
        <f t="shared" si="2"/>
        <v>0</v>
      </c>
    </row>
    <row r="20" spans="1:12" ht="14.1" hidden="1" customHeight="1" x14ac:dyDescent="0.2">
      <c r="A20" s="205"/>
      <c r="B20" s="327" t="s">
        <v>962</v>
      </c>
      <c r="C20" s="220">
        <f>+'Intangibles (group)'!C20</f>
        <v>0</v>
      </c>
      <c r="D20" s="220">
        <f>+'Intangibles (group)'!D20</f>
        <v>0</v>
      </c>
      <c r="E20" s="220">
        <f>+'Intangibles (group)'!E20</f>
        <v>0</v>
      </c>
      <c r="F20" s="220">
        <f>+'Intangibles (group)'!F20</f>
        <v>0</v>
      </c>
      <c r="G20" s="220">
        <f>+'Intangibles (group)'!G20</f>
        <v>0</v>
      </c>
      <c r="H20" s="220">
        <f>+'Intangibles (group)'!H20</f>
        <v>0</v>
      </c>
      <c r="I20" s="220">
        <f>+'Intangibles (group)'!I20</f>
        <v>0</v>
      </c>
      <c r="J20" s="220">
        <f>+'Intangibles (group)'!J20</f>
        <v>0</v>
      </c>
      <c r="K20" s="220">
        <f>+'Intangibles (group)'!K20</f>
        <v>0</v>
      </c>
      <c r="L20" s="220">
        <f t="shared" si="2"/>
        <v>0</v>
      </c>
    </row>
    <row r="21" spans="1:12" ht="14.1" customHeight="1" x14ac:dyDescent="0.2">
      <c r="A21" s="205"/>
      <c r="B21" s="327" t="s">
        <v>963</v>
      </c>
      <c r="C21" s="220">
        <f>+'Intangibles (group)'!C21</f>
        <v>1085</v>
      </c>
      <c r="D21" s="220">
        <f>+'Intangibles (group)'!D21</f>
        <v>0</v>
      </c>
      <c r="E21" s="220">
        <f>+'Intangibles (group)'!E21</f>
        <v>0</v>
      </c>
      <c r="F21" s="220">
        <f>+'Intangibles (group)'!F21</f>
        <v>0</v>
      </c>
      <c r="G21" s="220">
        <f>+'Intangibles (group)'!G21</f>
        <v>0</v>
      </c>
      <c r="H21" s="220">
        <f>+'Intangibles (group)'!H21</f>
        <v>0</v>
      </c>
      <c r="I21" s="220">
        <f>+'Intangibles (group)'!I21</f>
        <v>13</v>
      </c>
      <c r="J21" s="220">
        <f>+'Intangibles (group)'!J21</f>
        <v>0</v>
      </c>
      <c r="K21" s="220">
        <f>+'Intangibles (group)'!K21</f>
        <v>0</v>
      </c>
      <c r="L21" s="220">
        <f t="shared" si="2"/>
        <v>1098</v>
      </c>
    </row>
    <row r="22" spans="1:12" ht="14.1" customHeight="1" x14ac:dyDescent="0.2">
      <c r="A22" s="205"/>
      <c r="B22" s="327" t="s">
        <v>597</v>
      </c>
      <c r="C22" s="220">
        <f>+'Intangibles (group)'!C22</f>
        <v>-20</v>
      </c>
      <c r="D22" s="220">
        <f>+'Intangibles (group)'!D22</f>
        <v>0</v>
      </c>
      <c r="E22" s="220">
        <f>+'Intangibles (group)'!E22</f>
        <v>0</v>
      </c>
      <c r="F22" s="220">
        <f>+'Intangibles (group)'!F22</f>
        <v>0</v>
      </c>
      <c r="G22" s="220">
        <f>+'Intangibles (group)'!G22</f>
        <v>0</v>
      </c>
      <c r="H22" s="220">
        <f>+'Intangibles (group)'!H22</f>
        <v>0</v>
      </c>
      <c r="I22" s="220">
        <f>+'Intangibles (group)'!I22</f>
        <v>0</v>
      </c>
      <c r="J22" s="220">
        <f>+'Intangibles (group)'!J22</f>
        <v>0</v>
      </c>
      <c r="K22" s="220">
        <f>+'Intangibles (group)'!K22</f>
        <v>0</v>
      </c>
      <c r="L22" s="220">
        <f t="shared" si="2"/>
        <v>-20</v>
      </c>
    </row>
    <row r="23" spans="1:12" ht="14.1" hidden="1" customHeight="1" x14ac:dyDescent="0.2">
      <c r="A23" s="205"/>
      <c r="B23" s="327" t="s">
        <v>957</v>
      </c>
      <c r="C23" s="220">
        <f>+'Intangibles (group)'!C23</f>
        <v>0</v>
      </c>
      <c r="D23" s="220">
        <f>+'Intangibles (group)'!D23</f>
        <v>0</v>
      </c>
      <c r="E23" s="220">
        <f>+'Intangibles (group)'!E23</f>
        <v>0</v>
      </c>
      <c r="F23" s="220">
        <f>+'Intangibles (group)'!F23</f>
        <v>0</v>
      </c>
      <c r="G23" s="220">
        <f>+'Intangibles (group)'!G23</f>
        <v>0</v>
      </c>
      <c r="H23" s="220">
        <f>+'Intangibles (group)'!H23</f>
        <v>0</v>
      </c>
      <c r="I23" s="220">
        <f>+'Intangibles (group)'!I23</f>
        <v>0</v>
      </c>
      <c r="J23" s="220">
        <f>+'Intangibles (group)'!J23</f>
        <v>0</v>
      </c>
      <c r="K23" s="220">
        <f>+'Intangibles (group)'!K23</f>
        <v>0</v>
      </c>
      <c r="L23" s="220">
        <f t="shared" si="2"/>
        <v>0</v>
      </c>
    </row>
    <row r="24" spans="1:12" ht="14.1" hidden="1" customHeight="1" x14ac:dyDescent="0.2">
      <c r="A24" s="205"/>
      <c r="B24" s="327" t="s">
        <v>958</v>
      </c>
      <c r="C24" s="220">
        <f>+'Intangibles (group)'!C24</f>
        <v>0</v>
      </c>
      <c r="D24" s="220">
        <f>+'Intangibles (group)'!D24</f>
        <v>0</v>
      </c>
      <c r="E24" s="220">
        <f>+'Intangibles (group)'!E24</f>
        <v>0</v>
      </c>
      <c r="F24" s="220">
        <f>+'Intangibles (group)'!F24</f>
        <v>0</v>
      </c>
      <c r="G24" s="220">
        <f>+'Intangibles (group)'!G24</f>
        <v>0</v>
      </c>
      <c r="H24" s="220">
        <f>+'Intangibles (group)'!H24</f>
        <v>0</v>
      </c>
      <c r="I24" s="220">
        <f>+'Intangibles (group)'!I24</f>
        <v>0</v>
      </c>
      <c r="J24" s="220">
        <f>+'Intangibles (group)'!J24</f>
        <v>0</v>
      </c>
      <c r="K24" s="220">
        <f>+'Intangibles (group)'!K24</f>
        <v>0</v>
      </c>
      <c r="L24" s="220">
        <f t="shared" si="2"/>
        <v>0</v>
      </c>
    </row>
    <row r="25" spans="1:12" ht="14.1" hidden="1" customHeight="1" x14ac:dyDescent="0.2">
      <c r="A25" s="313"/>
      <c r="B25" s="327" t="s">
        <v>959</v>
      </c>
      <c r="C25" s="220">
        <f>+'Intangibles (group)'!C25</f>
        <v>0</v>
      </c>
      <c r="D25" s="220">
        <f>+'Intangibles (group)'!D25</f>
        <v>0</v>
      </c>
      <c r="E25" s="220">
        <f>+'Intangibles (group)'!E25</f>
        <v>0</v>
      </c>
      <c r="F25" s="220">
        <f>+'Intangibles (group)'!F25</f>
        <v>0</v>
      </c>
      <c r="G25" s="220">
        <f>+'Intangibles (group)'!G25</f>
        <v>0</v>
      </c>
      <c r="H25" s="220">
        <f>+'Intangibles (group)'!H25</f>
        <v>0</v>
      </c>
      <c r="I25" s="220">
        <f>+'Intangibles (group)'!I25</f>
        <v>0</v>
      </c>
      <c r="J25" s="220">
        <f>+'Intangibles (group)'!J25</f>
        <v>0</v>
      </c>
      <c r="K25" s="220">
        <f>+'Intangibles (group)'!K25</f>
        <v>0</v>
      </c>
      <c r="L25" s="220">
        <f t="shared" si="2"/>
        <v>0</v>
      </c>
    </row>
    <row r="26" spans="1:12" ht="14.25" customHeight="1" x14ac:dyDescent="0.2">
      <c r="A26" s="205"/>
      <c r="B26" s="426" t="s">
        <v>1425</v>
      </c>
      <c r="C26" s="220">
        <f>+'Intangibles (group)'!C26</f>
        <v>-25</v>
      </c>
      <c r="D26" s="220">
        <f>+'Intangibles (group)'!D26</f>
        <v>0</v>
      </c>
      <c r="E26" s="220">
        <f>+'Intangibles (group)'!E26</f>
        <v>0</v>
      </c>
      <c r="F26" s="220">
        <f>+'Intangibles (group)'!F26</f>
        <v>0</v>
      </c>
      <c r="G26" s="220">
        <f>+'Intangibles (group)'!G26</f>
        <v>0</v>
      </c>
      <c r="H26" s="220">
        <f>+'Intangibles (group)'!H26</f>
        <v>0</v>
      </c>
      <c r="I26" s="220">
        <f>+'Intangibles (group)'!I26</f>
        <v>0</v>
      </c>
      <c r="J26" s="220">
        <f>+'Intangibles (group)'!J26</f>
        <v>0</v>
      </c>
      <c r="K26" s="220">
        <f>+'Intangibles (group)'!K26</f>
        <v>0</v>
      </c>
      <c r="L26" s="220">
        <f t="shared" si="2"/>
        <v>-25</v>
      </c>
    </row>
    <row r="27" spans="1:12" ht="14.1" customHeight="1" x14ac:dyDescent="0.2">
      <c r="A27" s="205"/>
      <c r="B27" s="327" t="s">
        <v>1446</v>
      </c>
      <c r="C27" s="220">
        <f>+'Intangibles (group)'!C27</f>
        <v>-387</v>
      </c>
      <c r="D27" s="220">
        <f>+'Intangibles (group)'!D27</f>
        <v>0</v>
      </c>
      <c r="E27" s="220">
        <f>+'Intangibles (group)'!E27</f>
        <v>0</v>
      </c>
      <c r="F27" s="220">
        <f>+'Intangibles (group)'!F27</f>
        <v>0</v>
      </c>
      <c r="G27" s="220">
        <f>+'Intangibles (group)'!G27</f>
        <v>0</v>
      </c>
      <c r="H27" s="220">
        <f>+'Intangibles (group)'!H27</f>
        <v>0</v>
      </c>
      <c r="I27" s="220">
        <f>+'Intangibles (group)'!I27</f>
        <v>0</v>
      </c>
      <c r="J27" s="220">
        <f>+'Intangibles (group)'!J27</f>
        <v>0</v>
      </c>
      <c r="K27" s="220">
        <f>+'Intangibles (group)'!K27</f>
        <v>0</v>
      </c>
      <c r="L27" s="220">
        <f t="shared" si="2"/>
        <v>-387</v>
      </c>
    </row>
    <row r="28" spans="1:12" ht="14.1" customHeight="1" thickBot="1" x14ac:dyDescent="0.25">
      <c r="A28" s="205"/>
      <c r="B28" s="289" t="str">
        <f>"Amortisation at " &amp; TEXT(CurrentYearEnd, "d mmmm yyyy")</f>
        <v>Amortisation at 31 March 2022</v>
      </c>
      <c r="C28" s="206">
        <f t="shared" ref="C28:K28" si="3">SUM(C18:C27)</f>
        <v>3508.2658499999998</v>
      </c>
      <c r="D28" s="206">
        <f t="shared" si="3"/>
        <v>-1E-4</v>
      </c>
      <c r="E28" s="206">
        <f t="shared" si="3"/>
        <v>0</v>
      </c>
      <c r="F28" s="206">
        <f t="shared" si="3"/>
        <v>4976.10844</v>
      </c>
      <c r="G28" s="206">
        <f t="shared" si="3"/>
        <v>0</v>
      </c>
      <c r="H28" s="206">
        <f t="shared" si="3"/>
        <v>0</v>
      </c>
      <c r="I28" s="206">
        <f t="shared" si="3"/>
        <v>35</v>
      </c>
      <c r="J28" s="206">
        <f t="shared" si="3"/>
        <v>0</v>
      </c>
      <c r="K28" s="206">
        <f t="shared" si="3"/>
        <v>0</v>
      </c>
      <c r="L28" s="206">
        <f>SUM(L18:L27)</f>
        <v>8519.3741899999986</v>
      </c>
    </row>
    <row r="29" spans="1:12" ht="14.1" customHeight="1" thickTop="1" x14ac:dyDescent="0.2">
      <c r="A29" s="205"/>
      <c r="B29" s="316"/>
      <c r="C29" s="203"/>
      <c r="D29" s="203"/>
      <c r="E29" s="203"/>
      <c r="F29" s="203"/>
      <c r="G29" s="203"/>
      <c r="H29" s="203"/>
      <c r="I29" s="203"/>
      <c r="J29" s="203"/>
      <c r="K29" s="203"/>
      <c r="L29" s="203"/>
    </row>
    <row r="30" spans="1:12" ht="14.1" customHeight="1" x14ac:dyDescent="0.2">
      <c r="A30" s="205"/>
      <c r="B30" s="316" t="str">
        <f>"Net book value at "&amp; TEXT(CurrentYearEnd, "d mmmm yyyy")</f>
        <v>Net book value at 31 March 2022</v>
      </c>
      <c r="C30" s="220">
        <f t="shared" ref="C30:K30" si="4">C16-C28</f>
        <v>2271.3254300000008</v>
      </c>
      <c r="D30" s="220">
        <f t="shared" si="4"/>
        <v>2.0000000000000001E-4</v>
      </c>
      <c r="E30" s="220">
        <f t="shared" si="4"/>
        <v>0</v>
      </c>
      <c r="F30" s="220">
        <f t="shared" si="4"/>
        <v>0</v>
      </c>
      <c r="G30" s="220">
        <f t="shared" si="4"/>
        <v>0</v>
      </c>
      <c r="H30" s="220">
        <f t="shared" si="4"/>
        <v>0</v>
      </c>
      <c r="I30" s="220">
        <f t="shared" si="4"/>
        <v>30.853560000000016</v>
      </c>
      <c r="J30" s="220">
        <f t="shared" si="4"/>
        <v>1946.4766</v>
      </c>
      <c r="K30" s="220">
        <f t="shared" si="4"/>
        <v>0</v>
      </c>
      <c r="L30" s="220">
        <f>SUM(C30:K30)</f>
        <v>4248.6557900000007</v>
      </c>
    </row>
    <row r="31" spans="1:12" ht="14.1" customHeight="1" x14ac:dyDescent="0.2">
      <c r="A31" s="205"/>
      <c r="B31" s="316" t="str">
        <f>"Net book value at "&amp; TEXT(CurrentYearStart,"d mmmm yyyy")</f>
        <v>Net book value at 1 April 2021</v>
      </c>
      <c r="C31" s="220">
        <f t="shared" ref="C31:K31" si="5">C6-C18</f>
        <v>3169.3254300000008</v>
      </c>
      <c r="D31" s="220">
        <f t="shared" si="5"/>
        <v>2.0000000000000001E-4</v>
      </c>
      <c r="E31" s="220">
        <f t="shared" si="5"/>
        <v>0</v>
      </c>
      <c r="F31" s="220">
        <f t="shared" si="5"/>
        <v>0</v>
      </c>
      <c r="G31" s="220">
        <f t="shared" si="5"/>
        <v>0</v>
      </c>
      <c r="H31" s="220">
        <f t="shared" si="5"/>
        <v>0</v>
      </c>
      <c r="I31" s="220">
        <f t="shared" si="5"/>
        <v>43.853560000000016</v>
      </c>
      <c r="J31" s="220">
        <f t="shared" si="5"/>
        <v>750.47659999999996</v>
      </c>
      <c r="K31" s="220">
        <f t="shared" si="5"/>
        <v>0</v>
      </c>
      <c r="L31" s="220">
        <f>SUM(C31:K31)</f>
        <v>3963.6557900000007</v>
      </c>
    </row>
    <row r="34" spans="1:12" ht="14.1" customHeight="1" x14ac:dyDescent="0.2">
      <c r="A34" s="205">
        <f>A3+0.1</f>
        <v>15.2</v>
      </c>
      <c r="B34" s="316" t="str">
        <f>"Note "&amp; A34 &amp; " Intangible assets - " &amp; ComparativeFY</f>
        <v>Note 15.2 Intangible assets - 2020/21</v>
      </c>
      <c r="C34" s="313"/>
      <c r="D34" s="313"/>
      <c r="E34" s="313"/>
      <c r="F34" s="313"/>
      <c r="G34" s="313"/>
      <c r="H34" s="313"/>
      <c r="I34" s="313"/>
      <c r="J34" s="313"/>
      <c r="K34" s="313"/>
      <c r="L34" s="313"/>
    </row>
    <row r="35" spans="1:12" ht="60" x14ac:dyDescent="0.2">
      <c r="A35" s="205"/>
      <c r="B35" s="316" t="s">
        <v>94</v>
      </c>
      <c r="C35" s="290" t="s">
        <v>949</v>
      </c>
      <c r="D35" s="290" t="s">
        <v>706</v>
      </c>
      <c r="E35" s="290" t="s">
        <v>707</v>
      </c>
      <c r="F35" s="290" t="s">
        <v>950</v>
      </c>
      <c r="G35" s="290" t="s">
        <v>703</v>
      </c>
      <c r="H35" s="290" t="s">
        <v>709</v>
      </c>
      <c r="I35" s="290" t="s">
        <v>704</v>
      </c>
      <c r="J35" s="290" t="s">
        <v>951</v>
      </c>
      <c r="K35" s="290" t="s">
        <v>708</v>
      </c>
      <c r="L35" s="290" t="s">
        <v>953</v>
      </c>
    </row>
    <row r="36" spans="1:12" ht="14.1" customHeight="1" x14ac:dyDescent="0.2">
      <c r="A36" s="205"/>
      <c r="B36" s="316"/>
      <c r="C36" s="290" t="s">
        <v>590</v>
      </c>
      <c r="D36" s="290" t="s">
        <v>590</v>
      </c>
      <c r="E36" s="290" t="s">
        <v>590</v>
      </c>
      <c r="F36" s="290" t="s">
        <v>590</v>
      </c>
      <c r="G36" s="290" t="s">
        <v>590</v>
      </c>
      <c r="H36" s="290" t="s">
        <v>590</v>
      </c>
      <c r="I36" s="290" t="s">
        <v>590</v>
      </c>
      <c r="J36" s="290" t="s">
        <v>590</v>
      </c>
      <c r="K36" s="290" t="s">
        <v>590</v>
      </c>
      <c r="L36" s="290" t="s">
        <v>590</v>
      </c>
    </row>
    <row r="37" spans="1:12" ht="25.5" customHeight="1" x14ac:dyDescent="0.2">
      <c r="A37" s="205"/>
      <c r="B37" s="316" t="str">
        <f>"Valuation / gross cost at " &amp; TEXT(ComparativeYearStart, "d mmmm yyyy") &amp; " - as previously stated"</f>
        <v>Valuation / gross cost at 1 April 2020 - as previously stated</v>
      </c>
      <c r="C37" s="220">
        <f>+'Intangibles (group)'!C37</f>
        <v>7357.5912799999996</v>
      </c>
      <c r="D37" s="220">
        <f>+'Intangibles (group)'!D37</f>
        <v>1E-4</v>
      </c>
      <c r="E37" s="220">
        <f>+'Intangibles (group)'!E37</f>
        <v>0</v>
      </c>
      <c r="F37" s="220">
        <f>+'Intangibles (group)'!F37</f>
        <v>4976.10844</v>
      </c>
      <c r="G37" s="220">
        <f>+'Intangibles (group)'!G37</f>
        <v>0</v>
      </c>
      <c r="H37" s="220">
        <f>+'Intangibles (group)'!H37</f>
        <v>0</v>
      </c>
      <c r="I37" s="220">
        <f>+'Intangibles (group)'!I37</f>
        <v>65.853560000000002</v>
      </c>
      <c r="J37" s="220">
        <f>+'Intangibles (group)'!J37</f>
        <v>209.47659999999999</v>
      </c>
      <c r="K37" s="220">
        <f>+'Intangibles (group)'!K37</f>
        <v>0</v>
      </c>
      <c r="L37" s="220">
        <f t="shared" ref="L37:L38" si="6">SUM(C37:K37)</f>
        <v>12609.029979999999</v>
      </c>
    </row>
    <row r="38" spans="1:12" ht="14.1" hidden="1" customHeight="1" x14ac:dyDescent="0.2">
      <c r="A38" s="205"/>
      <c r="B38" s="327" t="s">
        <v>542</v>
      </c>
      <c r="C38" s="220">
        <f>+'Intangibles (group)'!C38</f>
        <v>0</v>
      </c>
      <c r="D38" s="220">
        <f>+'Intangibles (group)'!D38</f>
        <v>0</v>
      </c>
      <c r="E38" s="220">
        <f>+'Intangibles (group)'!E38</f>
        <v>0</v>
      </c>
      <c r="F38" s="220">
        <f>+'Intangibles (group)'!F38</f>
        <v>0</v>
      </c>
      <c r="G38" s="220">
        <f>+'Intangibles (group)'!G38</f>
        <v>0</v>
      </c>
      <c r="H38" s="220">
        <f>+'Intangibles (group)'!H38</f>
        <v>0</v>
      </c>
      <c r="I38" s="220">
        <f>+'Intangibles (group)'!I38</f>
        <v>0</v>
      </c>
      <c r="J38" s="220">
        <f>+'Intangibles (group)'!J38</f>
        <v>0</v>
      </c>
      <c r="K38" s="220">
        <f>+'Intangibles (group)'!K38</f>
        <v>0</v>
      </c>
      <c r="L38" s="220">
        <f t="shared" si="6"/>
        <v>0</v>
      </c>
    </row>
    <row r="39" spans="1:12" ht="14.1" hidden="1" customHeight="1" x14ac:dyDescent="0.2">
      <c r="A39" s="205"/>
      <c r="B39" s="316" t="str">
        <f>"Valuation / gross cost at " &amp; TEXT(ComparativeYearStart, "d mmmm yyyy") &amp; " - restated"</f>
        <v>Valuation / gross cost at 1 April 2020 - restated</v>
      </c>
      <c r="C39" s="207">
        <f>SUM(C37:C38)</f>
        <v>7357.5912799999996</v>
      </c>
      <c r="D39" s="207">
        <f t="shared" ref="D39:L39" si="7">SUM(D37:D38)</f>
        <v>1E-4</v>
      </c>
      <c r="E39" s="207">
        <f t="shared" si="7"/>
        <v>0</v>
      </c>
      <c r="F39" s="207">
        <f t="shared" si="7"/>
        <v>4976.10844</v>
      </c>
      <c r="G39" s="207">
        <f t="shared" si="7"/>
        <v>0</v>
      </c>
      <c r="H39" s="207">
        <f t="shared" si="7"/>
        <v>0</v>
      </c>
      <c r="I39" s="207">
        <f t="shared" si="7"/>
        <v>65.853560000000002</v>
      </c>
      <c r="J39" s="207">
        <f t="shared" si="7"/>
        <v>209.47659999999999</v>
      </c>
      <c r="K39" s="207">
        <f t="shared" si="7"/>
        <v>0</v>
      </c>
      <c r="L39" s="207">
        <f t="shared" si="7"/>
        <v>12609.029979999999</v>
      </c>
    </row>
    <row r="40" spans="1:12" ht="14.1" hidden="1" customHeight="1" x14ac:dyDescent="0.2">
      <c r="A40" s="205"/>
      <c r="B40" s="316" t="s">
        <v>954</v>
      </c>
      <c r="C40" s="220"/>
      <c r="D40" s="220"/>
      <c r="E40" s="220"/>
      <c r="F40" s="220"/>
      <c r="G40" s="220"/>
      <c r="H40" s="220"/>
      <c r="I40" s="220"/>
      <c r="J40" s="220"/>
      <c r="K40" s="220"/>
      <c r="L40" s="220">
        <f t="shared" ref="L40:L48" si="8">SUM(C40:K40)</f>
        <v>0</v>
      </c>
    </row>
    <row r="41" spans="1:12" ht="14.1" hidden="1" customHeight="1" x14ac:dyDescent="0.2">
      <c r="A41" s="205"/>
      <c r="B41" s="327" t="s">
        <v>962</v>
      </c>
      <c r="C41" s="220">
        <f>+'Intangibles (group)'!C41</f>
        <v>0</v>
      </c>
      <c r="D41" s="220">
        <f>+'Intangibles (group)'!D41</f>
        <v>0</v>
      </c>
      <c r="E41" s="220">
        <f>+'Intangibles (group)'!E41</f>
        <v>0</v>
      </c>
      <c r="F41" s="220">
        <f>+'Intangibles (group)'!F41</f>
        <v>0</v>
      </c>
      <c r="G41" s="220">
        <f>+'Intangibles (group)'!G41</f>
        <v>0</v>
      </c>
      <c r="H41" s="220">
        <f>+'Intangibles (group)'!H41</f>
        <v>0</v>
      </c>
      <c r="I41" s="220">
        <f>+'Intangibles (group)'!I41</f>
        <v>0</v>
      </c>
      <c r="J41" s="220">
        <f>+'Intangibles (group)'!J41</f>
        <v>0</v>
      </c>
      <c r="K41" s="220">
        <f>+'Intangibles (group)'!K41</f>
        <v>0</v>
      </c>
      <c r="L41" s="220">
        <f t="shared" si="8"/>
        <v>0</v>
      </c>
    </row>
    <row r="42" spans="1:12" ht="14.1" customHeight="1" x14ac:dyDescent="0.2">
      <c r="A42" s="205"/>
      <c r="B42" s="327" t="s">
        <v>956</v>
      </c>
      <c r="C42" s="220">
        <f>+'Intangibles (group)'!C42</f>
        <v>1577</v>
      </c>
      <c r="D42" s="220">
        <f>+'Intangibles (group)'!D42</f>
        <v>0</v>
      </c>
      <c r="E42" s="220">
        <f>+'Intangibles (group)'!E42</f>
        <v>0</v>
      </c>
      <c r="F42" s="220">
        <f>+'Intangibles (group)'!F42</f>
        <v>0</v>
      </c>
      <c r="G42" s="220">
        <f>+'Intangibles (group)'!G42</f>
        <v>0</v>
      </c>
      <c r="H42" s="220">
        <v>0</v>
      </c>
      <c r="I42" s="220">
        <f>+'Intangibles (group)'!I42</f>
        <v>66</v>
      </c>
      <c r="J42" s="220">
        <f>+'Intangibles (group)'!J42</f>
        <v>541</v>
      </c>
      <c r="K42" s="220">
        <f>+'Intangibles (group)'!K42</f>
        <v>0</v>
      </c>
      <c r="L42" s="220">
        <f t="shared" si="8"/>
        <v>2184</v>
      </c>
    </row>
    <row r="43" spans="1:12" ht="14.1" hidden="1" customHeight="1" x14ac:dyDescent="0.2">
      <c r="A43" s="205"/>
      <c r="B43" s="327" t="s">
        <v>597</v>
      </c>
      <c r="C43" s="220">
        <f>+'Intangibles (group)'!C43</f>
        <v>0</v>
      </c>
      <c r="D43" s="220">
        <f>+'Intangibles (group)'!D43</f>
        <v>0</v>
      </c>
      <c r="E43" s="220">
        <f>+'Intangibles (group)'!E43</f>
        <v>0</v>
      </c>
      <c r="F43" s="220">
        <f>+'Intangibles (group)'!F43</f>
        <v>0</v>
      </c>
      <c r="G43" s="220">
        <f>+'Intangibles (group)'!G43</f>
        <v>0</v>
      </c>
      <c r="H43" s="220">
        <v>0</v>
      </c>
      <c r="I43" s="220">
        <f>+'Intangibles (group)'!I43</f>
        <v>0</v>
      </c>
      <c r="J43" s="220">
        <f>+'Intangibles (group)'!J43</f>
        <v>0</v>
      </c>
      <c r="K43" s="220">
        <f>+'Intangibles (group)'!K43</f>
        <v>0</v>
      </c>
      <c r="L43" s="220">
        <f t="shared" si="8"/>
        <v>0</v>
      </c>
    </row>
    <row r="44" spans="1:12" ht="14.1" hidden="1" customHeight="1" x14ac:dyDescent="0.2">
      <c r="A44" s="205"/>
      <c r="B44" s="327" t="s">
        <v>957</v>
      </c>
      <c r="C44" s="220">
        <f>+'Intangibles (group)'!C44</f>
        <v>0</v>
      </c>
      <c r="D44" s="220">
        <f>+'Intangibles (group)'!D44</f>
        <v>0</v>
      </c>
      <c r="E44" s="220">
        <f>+'Intangibles (group)'!E44</f>
        <v>0</v>
      </c>
      <c r="F44" s="220">
        <f>+'Intangibles (group)'!F44</f>
        <v>0</v>
      </c>
      <c r="G44" s="220">
        <f>+'Intangibles (group)'!G44</f>
        <v>0</v>
      </c>
      <c r="H44" s="220">
        <f>+'Intangibles (group)'!H44</f>
        <v>0</v>
      </c>
      <c r="I44" s="220">
        <f>+'Intangibles (group)'!I44</f>
        <v>0</v>
      </c>
      <c r="J44" s="220">
        <f>+'Intangibles (group)'!J44</f>
        <v>0</v>
      </c>
      <c r="K44" s="220">
        <f>+'Intangibles (group)'!K44</f>
        <v>0</v>
      </c>
      <c r="L44" s="220">
        <f t="shared" si="8"/>
        <v>0</v>
      </c>
    </row>
    <row r="45" spans="1:12" ht="14.1" hidden="1" customHeight="1" x14ac:dyDescent="0.2">
      <c r="A45" s="313"/>
      <c r="B45" s="327" t="s">
        <v>958</v>
      </c>
      <c r="C45" s="220">
        <f>+'Intangibles (group)'!C45</f>
        <v>0</v>
      </c>
      <c r="D45" s="220">
        <f>+'Intangibles (group)'!D45</f>
        <v>0</v>
      </c>
      <c r="E45" s="220">
        <f>+'Intangibles (group)'!E45</f>
        <v>0</v>
      </c>
      <c r="F45" s="220">
        <f>+'Intangibles (group)'!F45</f>
        <v>0</v>
      </c>
      <c r="G45" s="220">
        <f>+'Intangibles (group)'!G45</f>
        <v>0</v>
      </c>
      <c r="H45" s="220">
        <f>+'Intangibles (group)'!H45</f>
        <v>0</v>
      </c>
      <c r="I45" s="220">
        <f>+'Intangibles (group)'!I45</f>
        <v>0</v>
      </c>
      <c r="J45" s="220">
        <f>+'Intangibles (group)'!J45</f>
        <v>0</v>
      </c>
      <c r="K45" s="220">
        <f>+'Intangibles (group)'!K45</f>
        <v>0</v>
      </c>
      <c r="L45" s="220">
        <f t="shared" si="8"/>
        <v>0</v>
      </c>
    </row>
    <row r="46" spans="1:12" ht="14.1" customHeight="1" x14ac:dyDescent="0.2">
      <c r="A46" s="205"/>
      <c r="B46" s="327" t="s">
        <v>959</v>
      </c>
      <c r="C46" s="220">
        <f>+'Intangibles (group)'!C46</f>
        <v>66</v>
      </c>
      <c r="D46" s="220">
        <f>+'Intangibles (group)'!D46</f>
        <v>0</v>
      </c>
      <c r="E46" s="220">
        <f>+'Intangibles (group)'!E46</f>
        <v>0</v>
      </c>
      <c r="F46" s="220">
        <f>+'Intangibles (group)'!F46</f>
        <v>0</v>
      </c>
      <c r="G46" s="220">
        <f>+'Intangibles (group)'!G46</f>
        <v>0</v>
      </c>
      <c r="H46" s="220">
        <f>+'Intangibles (group)'!H46</f>
        <v>0</v>
      </c>
      <c r="I46" s="220">
        <f>+'Intangibles (group)'!I46</f>
        <v>-66</v>
      </c>
      <c r="J46" s="220">
        <f>+'Intangibles (group)'!J46</f>
        <v>0</v>
      </c>
      <c r="K46" s="220">
        <f>+'Intangibles (group)'!K46</f>
        <v>0</v>
      </c>
      <c r="L46" s="220">
        <f t="shared" si="8"/>
        <v>0</v>
      </c>
    </row>
    <row r="47" spans="1:12" ht="13.7" customHeight="1" x14ac:dyDescent="0.2">
      <c r="A47" s="205"/>
      <c r="B47" s="426" t="s">
        <v>1425</v>
      </c>
      <c r="C47" s="220">
        <f>+'Intangibles (group)'!C47</f>
        <v>-64</v>
      </c>
      <c r="D47" s="220">
        <f>+'Intangibles (group)'!D47</f>
        <v>0</v>
      </c>
      <c r="E47" s="220">
        <f>+'Intangibles (group)'!E47</f>
        <v>0</v>
      </c>
      <c r="F47" s="220">
        <f>+'Intangibles (group)'!F47</f>
        <v>0</v>
      </c>
      <c r="G47" s="220">
        <f>+'Intangibles (group)'!G47</f>
        <v>0</v>
      </c>
      <c r="H47" s="220">
        <f>+'Intangibles (group)'!H47</f>
        <v>0</v>
      </c>
      <c r="I47" s="220">
        <f>+'Intangibles (group)'!I47</f>
        <v>0</v>
      </c>
      <c r="J47" s="220">
        <f>+'Intangibles (group)'!J47</f>
        <v>0</v>
      </c>
      <c r="K47" s="220">
        <f>+'Intangibles (group)'!K47</f>
        <v>0</v>
      </c>
      <c r="L47" s="220">
        <f t="shared" si="8"/>
        <v>-64</v>
      </c>
    </row>
    <row r="48" spans="1:12" ht="14.1" customHeight="1" x14ac:dyDescent="0.2">
      <c r="A48" s="205"/>
      <c r="B48" s="327" t="s">
        <v>1446</v>
      </c>
      <c r="C48" s="220">
        <f>+'Intangibles (group)'!C48</f>
        <v>-2912</v>
      </c>
      <c r="D48" s="220">
        <f>+'Intangibles (group)'!D48</f>
        <v>0</v>
      </c>
      <c r="E48" s="220">
        <f>+'Intangibles (group)'!E48</f>
        <v>0</v>
      </c>
      <c r="F48" s="220">
        <f>+'Intangibles (group)'!F48</f>
        <v>0</v>
      </c>
      <c r="G48" s="220">
        <f>+'Intangibles (group)'!G48</f>
        <v>0</v>
      </c>
      <c r="H48" s="220">
        <f>+'Intangibles (group)'!H48</f>
        <v>0</v>
      </c>
      <c r="I48" s="220">
        <f>+'Intangibles (group)'!I48</f>
        <v>0</v>
      </c>
      <c r="J48" s="220">
        <f>+'Intangibles (group)'!J48</f>
        <v>0</v>
      </c>
      <c r="K48" s="220">
        <f>+'Intangibles (group)'!K48</f>
        <v>0</v>
      </c>
      <c r="L48" s="220">
        <f t="shared" si="8"/>
        <v>-2912</v>
      </c>
    </row>
    <row r="49" spans="1:12" ht="14.1" customHeight="1" thickBot="1" x14ac:dyDescent="0.25">
      <c r="A49" s="205"/>
      <c r="B49" s="289" t="str">
        <f>"Valuation / gross cost at " &amp; TEXT(ComparativeYearEnd, "d mmmm yyyy")</f>
        <v>Valuation / gross cost at 31 March 2021</v>
      </c>
      <c r="C49" s="206">
        <f t="shared" ref="C49:L49" si="9">SUM(C39:C48)</f>
        <v>6024.5912800000006</v>
      </c>
      <c r="D49" s="206">
        <f t="shared" si="9"/>
        <v>1E-4</v>
      </c>
      <c r="E49" s="206">
        <f t="shared" si="9"/>
        <v>0</v>
      </c>
      <c r="F49" s="206">
        <f t="shared" si="9"/>
        <v>4976.10844</v>
      </c>
      <c r="G49" s="206">
        <f t="shared" si="9"/>
        <v>0</v>
      </c>
      <c r="H49" s="206">
        <f t="shared" si="9"/>
        <v>0</v>
      </c>
      <c r="I49" s="206">
        <f t="shared" si="9"/>
        <v>65.853560000000016</v>
      </c>
      <c r="J49" s="206">
        <f t="shared" si="9"/>
        <v>750.47659999999996</v>
      </c>
      <c r="K49" s="206">
        <f t="shared" si="9"/>
        <v>0</v>
      </c>
      <c r="L49" s="206">
        <f t="shared" si="9"/>
        <v>11817.029979999999</v>
      </c>
    </row>
    <row r="50" spans="1:12" ht="12.2" customHeight="1" thickTop="1" x14ac:dyDescent="0.2">
      <c r="A50" s="205"/>
      <c r="B50" s="313"/>
      <c r="C50" s="218"/>
      <c r="D50" s="218"/>
      <c r="E50" s="218"/>
      <c r="F50" s="218"/>
      <c r="G50" s="218"/>
      <c r="H50" s="218"/>
      <c r="I50" s="218"/>
      <c r="J50" s="218"/>
      <c r="K50" s="218"/>
      <c r="L50" s="218"/>
    </row>
    <row r="51" spans="1:12" ht="14.1" customHeight="1" x14ac:dyDescent="0.2">
      <c r="B51" s="316" t="str">
        <f>"Amortisation at " &amp; TEXT(ComparativeYearStart, "d mmmm yyyy") &amp; " - as previously stated"</f>
        <v>Amortisation at 1 April 2020 - as previously stated</v>
      </c>
      <c r="C51" s="220">
        <f>+'Intangibles (group)'!C51</f>
        <v>4022.2658499999998</v>
      </c>
      <c r="D51" s="220">
        <f>+'Intangibles (group)'!D51</f>
        <v>-1E-4</v>
      </c>
      <c r="E51" s="220">
        <f>+'Intangibles (group)'!E51</f>
        <v>0</v>
      </c>
      <c r="F51" s="220">
        <f>+'Intangibles (group)'!F51</f>
        <v>4976.10844</v>
      </c>
      <c r="G51" s="220">
        <f>+'Intangibles (group)'!G51</f>
        <v>0</v>
      </c>
      <c r="H51" s="220">
        <f>+'Intangibles (group)'!H51</f>
        <v>0</v>
      </c>
      <c r="I51" s="220">
        <f>+'Intangibles (group)'!I51</f>
        <v>9</v>
      </c>
      <c r="J51" s="220">
        <f>+'Intangibles (group)'!J51</f>
        <v>0</v>
      </c>
      <c r="K51" s="220">
        <f>+'Intangibles (group)'!K51</f>
        <v>0</v>
      </c>
      <c r="L51" s="220">
        <f t="shared" ref="L51:L52" si="10">SUM(C51:K51)</f>
        <v>9007.3741899999986</v>
      </c>
    </row>
    <row r="52" spans="1:12" ht="14.1" hidden="1" customHeight="1" x14ac:dyDescent="0.2">
      <c r="B52" s="327" t="s">
        <v>542</v>
      </c>
      <c r="C52" s="220">
        <f>+'Intangibles (group)'!C52</f>
        <v>0</v>
      </c>
      <c r="D52" s="220">
        <f>+'Intangibles (group)'!D52</f>
        <v>0</v>
      </c>
      <c r="E52" s="220">
        <f>+'Intangibles (group)'!E52</f>
        <v>0</v>
      </c>
      <c r="F52" s="220">
        <f>+'Intangibles (group)'!F52</f>
        <v>0</v>
      </c>
      <c r="G52" s="220">
        <f>+'Intangibles (group)'!G52</f>
        <v>0</v>
      </c>
      <c r="H52" s="220">
        <f>+'Intangibles (group)'!H52</f>
        <v>0</v>
      </c>
      <c r="I52" s="220">
        <f>+'Intangibles (group)'!I52</f>
        <v>0</v>
      </c>
      <c r="J52" s="220">
        <f>+'Intangibles (group)'!J52</f>
        <v>0</v>
      </c>
      <c r="K52" s="220">
        <f>+'Intangibles (group)'!K52</f>
        <v>0</v>
      </c>
      <c r="L52" s="220">
        <f t="shared" si="10"/>
        <v>0</v>
      </c>
    </row>
    <row r="53" spans="1:12" ht="14.1" hidden="1" customHeight="1" x14ac:dyDescent="0.2">
      <c r="B53" s="316" t="str">
        <f>"Amortisation at " &amp; TEXT(ComparativeYearStart, "d mmmm yyyy") &amp;" - restated"</f>
        <v>Amortisation at 1 April 2020 - restated</v>
      </c>
      <c r="C53" s="207">
        <f>SUM(C51:C52)</f>
        <v>4022.2658499999998</v>
      </c>
      <c r="D53" s="207">
        <f t="shared" ref="D53:L53" si="11">SUM(D51:D52)</f>
        <v>-1E-4</v>
      </c>
      <c r="E53" s="207">
        <f t="shared" si="11"/>
        <v>0</v>
      </c>
      <c r="F53" s="207">
        <f t="shared" si="11"/>
        <v>4976.10844</v>
      </c>
      <c r="G53" s="207">
        <f t="shared" si="11"/>
        <v>0</v>
      </c>
      <c r="H53" s="207">
        <f t="shared" si="11"/>
        <v>0</v>
      </c>
      <c r="I53" s="207">
        <f t="shared" si="11"/>
        <v>9</v>
      </c>
      <c r="J53" s="207">
        <f t="shared" si="11"/>
        <v>0</v>
      </c>
      <c r="K53" s="207">
        <f t="shared" si="11"/>
        <v>0</v>
      </c>
      <c r="L53" s="207">
        <f t="shared" si="11"/>
        <v>9007.3741899999986</v>
      </c>
    </row>
    <row r="54" spans="1:12" ht="14.1" hidden="1" customHeight="1" x14ac:dyDescent="0.2">
      <c r="B54" s="316" t="s">
        <v>961</v>
      </c>
      <c r="C54" s="220"/>
      <c r="D54" s="220"/>
      <c r="E54" s="220"/>
      <c r="F54" s="220"/>
      <c r="G54" s="220"/>
      <c r="H54" s="220"/>
      <c r="I54" s="220"/>
      <c r="J54" s="220"/>
      <c r="K54" s="220"/>
      <c r="L54" s="220">
        <f t="shared" ref="L54:L62" si="12">SUM(C54:K54)</f>
        <v>0</v>
      </c>
    </row>
    <row r="55" spans="1:12" ht="14.1" hidden="1" customHeight="1" x14ac:dyDescent="0.2">
      <c r="B55" s="327" t="s">
        <v>962</v>
      </c>
      <c r="C55" s="220">
        <f>+'Intangibles (group)'!C55</f>
        <v>0</v>
      </c>
      <c r="D55" s="220">
        <f>+'Intangibles (group)'!D55</f>
        <v>0</v>
      </c>
      <c r="E55" s="220">
        <f>+'Intangibles (group)'!E55</f>
        <v>0</v>
      </c>
      <c r="F55" s="220">
        <f>+'Intangibles (group)'!F55</f>
        <v>0</v>
      </c>
      <c r="G55" s="220">
        <f>+'Intangibles (group)'!G55</f>
        <v>0</v>
      </c>
      <c r="H55" s="220">
        <f>+'Intangibles (group)'!H55</f>
        <v>0</v>
      </c>
      <c r="I55" s="220">
        <f>+'Intangibles (group)'!I55</f>
        <v>0</v>
      </c>
      <c r="J55" s="220">
        <f>+'Intangibles (group)'!J55</f>
        <v>0</v>
      </c>
      <c r="K55" s="220">
        <f>+'Intangibles (group)'!K55</f>
        <v>0</v>
      </c>
      <c r="L55" s="220">
        <f t="shared" si="12"/>
        <v>0</v>
      </c>
    </row>
    <row r="56" spans="1:12" ht="14.1" customHeight="1" x14ac:dyDescent="0.2">
      <c r="B56" s="327" t="s">
        <v>963</v>
      </c>
      <c r="C56" s="220">
        <f>+'Intangibles (group)'!C56</f>
        <v>1809</v>
      </c>
      <c r="D56" s="220">
        <f>+'Intangibles (group)'!D56</f>
        <v>0</v>
      </c>
      <c r="E56" s="220">
        <f>+'Intangibles (group)'!E56</f>
        <v>0</v>
      </c>
      <c r="F56" s="220">
        <f>+'Intangibles (group)'!F56</f>
        <v>0</v>
      </c>
      <c r="G56" s="220">
        <f>+'Intangibles (group)'!G56</f>
        <v>0</v>
      </c>
      <c r="H56" s="220">
        <f>+'Intangibles (group)'!H56</f>
        <v>0</v>
      </c>
      <c r="I56" s="220">
        <f>+'Intangibles (group)'!I56</f>
        <v>22</v>
      </c>
      <c r="J56" s="220">
        <f>+'Intangibles (group)'!J56</f>
        <v>0</v>
      </c>
      <c r="K56" s="220">
        <f>+'Intangibles (group)'!K56</f>
        <v>0</v>
      </c>
      <c r="L56" s="220">
        <f t="shared" si="12"/>
        <v>1831</v>
      </c>
    </row>
    <row r="57" spans="1:12" ht="16.5" hidden="1" customHeight="1" x14ac:dyDescent="0.2">
      <c r="B57" s="327" t="s">
        <v>597</v>
      </c>
      <c r="C57" s="220">
        <f>+'Intangibles (group)'!C57</f>
        <v>0</v>
      </c>
      <c r="D57" s="220">
        <f>+'Intangibles (group)'!D57</f>
        <v>0</v>
      </c>
      <c r="E57" s="220">
        <f>+'Intangibles (group)'!E57</f>
        <v>0</v>
      </c>
      <c r="F57" s="220">
        <f>+'Intangibles (group)'!F57</f>
        <v>0</v>
      </c>
      <c r="G57" s="220">
        <f>+'Intangibles (group)'!G57</f>
        <v>0</v>
      </c>
      <c r="H57" s="220">
        <f>+'Intangibles (group)'!H57</f>
        <v>0</v>
      </c>
      <c r="I57" s="220">
        <f>+'Intangibles (group)'!I57</f>
        <v>0</v>
      </c>
      <c r="J57" s="220">
        <f>+'Intangibles (group)'!J57</f>
        <v>0</v>
      </c>
      <c r="K57" s="220">
        <f>+'Intangibles (group)'!K57</f>
        <v>0</v>
      </c>
      <c r="L57" s="220">
        <f t="shared" si="12"/>
        <v>0</v>
      </c>
    </row>
    <row r="58" spans="1:12" ht="14.1" hidden="1" customHeight="1" x14ac:dyDescent="0.2">
      <c r="B58" s="327" t="s">
        <v>957</v>
      </c>
      <c r="C58" s="220">
        <f>+'Intangibles (group)'!C58</f>
        <v>0</v>
      </c>
      <c r="D58" s="220">
        <f>+'Intangibles (group)'!D58</f>
        <v>0</v>
      </c>
      <c r="E58" s="220">
        <f>+'Intangibles (group)'!E58</f>
        <v>0</v>
      </c>
      <c r="F58" s="220">
        <f>+'Intangibles (group)'!F58</f>
        <v>0</v>
      </c>
      <c r="G58" s="220">
        <f>+'Intangibles (group)'!G58</f>
        <v>0</v>
      </c>
      <c r="H58" s="220">
        <f>+'Intangibles (group)'!H58</f>
        <v>0</v>
      </c>
      <c r="I58" s="220">
        <f>+'Intangibles (group)'!I58</f>
        <v>0</v>
      </c>
      <c r="J58" s="220">
        <f>+'Intangibles (group)'!J58</f>
        <v>0</v>
      </c>
      <c r="K58" s="220">
        <f>+'Intangibles (group)'!K58</f>
        <v>0</v>
      </c>
      <c r="L58" s="220">
        <f t="shared" si="12"/>
        <v>0</v>
      </c>
    </row>
    <row r="59" spans="1:12" ht="14.1" hidden="1" customHeight="1" x14ac:dyDescent="0.2">
      <c r="B59" s="327" t="s">
        <v>958</v>
      </c>
      <c r="C59" s="220">
        <f>+'Intangibles (group)'!C59</f>
        <v>0</v>
      </c>
      <c r="D59" s="220">
        <f>+'Intangibles (group)'!D59</f>
        <v>0</v>
      </c>
      <c r="E59" s="220">
        <f>+'Intangibles (group)'!E59</f>
        <v>0</v>
      </c>
      <c r="F59" s="220">
        <f>+'Intangibles (group)'!F59</f>
        <v>0</v>
      </c>
      <c r="G59" s="220">
        <f>+'Intangibles (group)'!G59</f>
        <v>0</v>
      </c>
      <c r="H59" s="220">
        <f>+'Intangibles (group)'!H59</f>
        <v>0</v>
      </c>
      <c r="I59" s="220">
        <f>+'Intangibles (group)'!I59</f>
        <v>0</v>
      </c>
      <c r="J59" s="220">
        <f>+'Intangibles (group)'!J59</f>
        <v>0</v>
      </c>
      <c r="K59" s="220">
        <f>+'Intangibles (group)'!K59</f>
        <v>0</v>
      </c>
      <c r="L59" s="220">
        <f t="shared" si="12"/>
        <v>0</v>
      </c>
    </row>
    <row r="60" spans="1:12" ht="14.1" customHeight="1" x14ac:dyDescent="0.2">
      <c r="B60" s="327" t="s">
        <v>959</v>
      </c>
      <c r="C60" s="220">
        <f>+'Intangibles (group)'!C60</f>
        <v>9</v>
      </c>
      <c r="D60" s="220">
        <f>+'Intangibles (group)'!D60</f>
        <v>0</v>
      </c>
      <c r="E60" s="220">
        <f>+'Intangibles (group)'!E60</f>
        <v>0</v>
      </c>
      <c r="F60" s="220">
        <f>+'Intangibles (group)'!F60</f>
        <v>0</v>
      </c>
      <c r="G60" s="220">
        <f>+'Intangibles (group)'!G60</f>
        <v>0</v>
      </c>
      <c r="H60" s="220">
        <f>+'Intangibles (group)'!H60</f>
        <v>0</v>
      </c>
      <c r="I60" s="220">
        <f>+'Intangibles (group)'!I60</f>
        <v>-9</v>
      </c>
      <c r="J60" s="220">
        <f>+'Intangibles (group)'!J60</f>
        <v>0</v>
      </c>
      <c r="K60" s="220">
        <f>+'Intangibles (group)'!K60</f>
        <v>0</v>
      </c>
      <c r="L60" s="220">
        <f t="shared" si="12"/>
        <v>0</v>
      </c>
    </row>
    <row r="61" spans="1:12" ht="13.7" customHeight="1" x14ac:dyDescent="0.2">
      <c r="B61" s="426" t="s">
        <v>1425</v>
      </c>
      <c r="C61" s="220">
        <f>+'Intangibles (group)'!C61</f>
        <v>-73</v>
      </c>
      <c r="D61" s="220">
        <f>+'Intangibles (group)'!D61</f>
        <v>0</v>
      </c>
      <c r="E61" s="220">
        <f>+'Intangibles (group)'!E61</f>
        <v>0</v>
      </c>
      <c r="F61" s="220">
        <f>+'Intangibles (group)'!F61</f>
        <v>0</v>
      </c>
      <c r="G61" s="220">
        <f>+'Intangibles (group)'!G61</f>
        <v>0</v>
      </c>
      <c r="H61" s="220">
        <f>+'Intangibles (group)'!H61</f>
        <v>0</v>
      </c>
      <c r="I61" s="220">
        <f>+'Intangibles (group)'!I61</f>
        <v>0</v>
      </c>
      <c r="J61" s="220">
        <f>+'Intangibles (group)'!J61</f>
        <v>0</v>
      </c>
      <c r="K61" s="220">
        <f>+'Intangibles (group)'!K61</f>
        <v>0</v>
      </c>
      <c r="L61" s="220">
        <f t="shared" si="12"/>
        <v>-73</v>
      </c>
    </row>
    <row r="62" spans="1:12" ht="14.1" customHeight="1" x14ac:dyDescent="0.2">
      <c r="B62" s="327" t="s">
        <v>1446</v>
      </c>
      <c r="C62" s="220">
        <f>+'Intangibles (group)'!C62</f>
        <v>-2912</v>
      </c>
      <c r="D62" s="220">
        <f>+'Intangibles (group)'!D62</f>
        <v>0</v>
      </c>
      <c r="E62" s="220">
        <f>+'Intangibles (group)'!E62</f>
        <v>0</v>
      </c>
      <c r="F62" s="220">
        <f>+'Intangibles (group)'!F62</f>
        <v>0</v>
      </c>
      <c r="G62" s="220">
        <f>+'Intangibles (group)'!G62</f>
        <v>0</v>
      </c>
      <c r="H62" s="220">
        <f>+'Intangibles (group)'!H62</f>
        <v>0</v>
      </c>
      <c r="I62" s="220">
        <f>+'Intangibles (group)'!I62</f>
        <v>0</v>
      </c>
      <c r="J62" s="220">
        <f>+'Intangibles (group)'!J62</f>
        <v>0</v>
      </c>
      <c r="K62" s="220">
        <f>+'Intangibles (group)'!K62</f>
        <v>0</v>
      </c>
      <c r="L62" s="220">
        <f t="shared" si="12"/>
        <v>-2912</v>
      </c>
    </row>
    <row r="63" spans="1:12" ht="14.1" customHeight="1" thickBot="1" x14ac:dyDescent="0.25">
      <c r="B63" s="289" t="str">
        <f>"Amortisation at " &amp;TEXT(ComparativeYearEnd, "d mmmm yyyy")</f>
        <v>Amortisation at 31 March 2021</v>
      </c>
      <c r="C63" s="206">
        <f>SUM(C53:C62)</f>
        <v>2855.2658499999998</v>
      </c>
      <c r="D63" s="206">
        <f t="shared" ref="D63:L63" si="13">SUM(D53:D62)</f>
        <v>-1E-4</v>
      </c>
      <c r="E63" s="206">
        <f t="shared" si="13"/>
        <v>0</v>
      </c>
      <c r="F63" s="206">
        <f t="shared" si="13"/>
        <v>4976.10844</v>
      </c>
      <c r="G63" s="206">
        <f t="shared" si="13"/>
        <v>0</v>
      </c>
      <c r="H63" s="206">
        <f t="shared" si="13"/>
        <v>0</v>
      </c>
      <c r="I63" s="206">
        <f t="shared" si="13"/>
        <v>22</v>
      </c>
      <c r="J63" s="206">
        <f t="shared" si="13"/>
        <v>0</v>
      </c>
      <c r="K63" s="206">
        <f t="shared" si="13"/>
        <v>0</v>
      </c>
      <c r="L63" s="206">
        <f t="shared" si="13"/>
        <v>7853.3741899999986</v>
      </c>
    </row>
    <row r="64" spans="1:12" ht="9.75" customHeight="1" thickTop="1" x14ac:dyDescent="0.2">
      <c r="B64" s="313"/>
      <c r="C64" s="218"/>
      <c r="D64" s="218"/>
      <c r="E64" s="218"/>
      <c r="F64" s="218"/>
      <c r="G64" s="218"/>
      <c r="H64" s="218"/>
      <c r="I64" s="218"/>
      <c r="J64" s="218"/>
      <c r="K64" s="218"/>
      <c r="L64" s="218"/>
    </row>
    <row r="65" spans="2:12" ht="14.1" customHeight="1" x14ac:dyDescent="0.2">
      <c r="B65" s="316" t="str">
        <f>"Net book value at "&amp;TEXT(ComparativeYearEnd, "d mmmm yyyy")</f>
        <v>Net book value at 31 March 2021</v>
      </c>
      <c r="C65" s="220">
        <f t="shared" ref="C65:K65" si="14">C49-C63</f>
        <v>3169.3254300000008</v>
      </c>
      <c r="D65" s="220">
        <f t="shared" si="14"/>
        <v>2.0000000000000001E-4</v>
      </c>
      <c r="E65" s="220">
        <f t="shared" si="14"/>
        <v>0</v>
      </c>
      <c r="F65" s="220">
        <f t="shared" si="14"/>
        <v>0</v>
      </c>
      <c r="G65" s="220">
        <f t="shared" si="14"/>
        <v>0</v>
      </c>
      <c r="H65" s="220">
        <f t="shared" si="14"/>
        <v>0</v>
      </c>
      <c r="I65" s="220">
        <f t="shared" si="14"/>
        <v>43.853560000000016</v>
      </c>
      <c r="J65" s="220">
        <f t="shared" si="14"/>
        <v>750.47659999999996</v>
      </c>
      <c r="K65" s="220">
        <f t="shared" si="14"/>
        <v>0</v>
      </c>
      <c r="L65" s="220">
        <f>SUM(C65:K65)</f>
        <v>3963.6557900000007</v>
      </c>
    </row>
    <row r="66" spans="2:12" ht="14.1" customHeight="1" x14ac:dyDescent="0.2">
      <c r="B66" s="316" t="str">
        <f>"Net book value at "&amp; TEXT(ComparativeYearStart, "d mmmm yyyy")</f>
        <v>Net book value at 1 April 2020</v>
      </c>
      <c r="C66" s="220">
        <f t="shared" ref="C66:K66" si="15">C39-C53</f>
        <v>3335.3254299999999</v>
      </c>
      <c r="D66" s="220">
        <f t="shared" si="15"/>
        <v>2.0000000000000001E-4</v>
      </c>
      <c r="E66" s="220">
        <f t="shared" si="15"/>
        <v>0</v>
      </c>
      <c r="F66" s="220">
        <f t="shared" si="15"/>
        <v>0</v>
      </c>
      <c r="G66" s="220">
        <f t="shared" si="15"/>
        <v>0</v>
      </c>
      <c r="H66" s="220">
        <f t="shared" si="15"/>
        <v>0</v>
      </c>
      <c r="I66" s="220">
        <f t="shared" si="15"/>
        <v>56.853560000000002</v>
      </c>
      <c r="J66" s="220">
        <f t="shared" si="15"/>
        <v>209.47659999999999</v>
      </c>
      <c r="K66" s="220">
        <f t="shared" si="15"/>
        <v>0</v>
      </c>
      <c r="L66" s="220">
        <f>SUM(C66:K66)</f>
        <v>3601.6557899999998</v>
      </c>
    </row>
    <row r="67" spans="2:12" ht="14.1" customHeight="1" x14ac:dyDescent="0.2">
      <c r="B67" s="313"/>
      <c r="C67" s="172"/>
      <c r="D67" s="172"/>
      <c r="E67" s="172"/>
      <c r="F67" s="172"/>
      <c r="G67" s="172"/>
      <c r="H67" s="172"/>
      <c r="I67" s="172"/>
      <c r="J67" s="172"/>
      <c r="K67" s="172"/>
      <c r="L67" s="172"/>
    </row>
    <row r="68" spans="2:12" ht="14.1" customHeight="1" x14ac:dyDescent="0.2">
      <c r="B68" s="313"/>
      <c r="C68" s="325"/>
      <c r="D68" s="325"/>
      <c r="E68" s="325"/>
      <c r="F68" s="325"/>
      <c r="G68" s="325"/>
      <c r="H68" s="325"/>
      <c r="I68" s="325"/>
      <c r="J68" s="325"/>
      <c r="K68" s="325"/>
      <c r="L68" s="325"/>
    </row>
    <row r="69" spans="2:12" ht="14.1" customHeight="1" x14ac:dyDescent="0.2">
      <c r="B69" s="325"/>
      <c r="C69" s="325"/>
      <c r="D69" s="325"/>
      <c r="E69" s="325"/>
      <c r="F69" s="325"/>
      <c r="G69" s="325"/>
      <c r="H69" s="325"/>
      <c r="I69" s="325"/>
      <c r="J69" s="325"/>
      <c r="K69" s="325"/>
      <c r="L69" s="325"/>
    </row>
  </sheetData>
  <customSheetViews>
    <customSheetView guid="{EDC1BD6E-863A-4FC6-A3A9-F32079F4F0C1}">
      <selection activeCell="B34" sqref="B34"/>
      <pageMargins left="0" right="0" top="0" bottom="0" header="0" footer="0"/>
      <pageSetup paperSize="9" orientation="landscape" verticalDpi="0" r:id="rId1"/>
    </customSheetView>
  </customSheetViews>
  <pageMargins left="0.70866141732283472" right="0.70866141732283472" top="0.74803149606299213" bottom="0.74803149606299213" header="0.31496062992125984" footer="0.31496062992125984"/>
  <pageSetup paperSize="9" scale="82" orientation="portrait" verticalDpi="0" r:id="rId2"/>
  <headerFooter>
    <oddFooter>&amp;RPage &amp;P of &amp;N</oddFooter>
  </headerFooter>
  <rowBreaks count="1" manualBreakCount="1">
    <brk id="33" max="16383" man="1"/>
  </rowBreaks>
  <ignoredErrors>
    <ignoredError sqref="C5:L5 C36:L3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12"/>
  <sheetViews>
    <sheetView showGridLines="0" workbookViewId="0">
      <selection activeCell="F23" sqref="F23"/>
    </sheetView>
  </sheetViews>
  <sheetFormatPr defaultColWidth="9.140625" defaultRowHeight="12.75" x14ac:dyDescent="0.2"/>
  <cols>
    <col min="1" max="1" width="9.140625" style="5"/>
    <col min="2" max="2" width="71.7109375" style="5" bestFit="1" customWidth="1"/>
    <col min="3" max="16384" width="9.140625" style="5"/>
  </cols>
  <sheetData>
    <row r="1" spans="1:2" x14ac:dyDescent="0.2">
      <c r="A1" s="350" t="s">
        <v>1310</v>
      </c>
      <c r="B1" s="351"/>
    </row>
    <row r="9" spans="1:2" x14ac:dyDescent="0.2">
      <c r="B9" s="4" t="str">
        <f>SelectedFT</f>
        <v>Moorfields Eye Hospital NHS Foundation Trust</v>
      </c>
    </row>
    <row r="12" spans="1:2" x14ac:dyDescent="0.2">
      <c r="B12" s="4" t="str">
        <f>"Annual accounts for the year ended " &amp; TEXT(CurrentYearEnd, "d mmmm yyyy")</f>
        <v>Annual accounts for the year ended 31 March 2022</v>
      </c>
    </row>
  </sheetData>
  <customSheetViews>
    <customSheetView guid="{EDC1BD6E-863A-4FC6-A3A9-F32079F4F0C1}">
      <selection activeCell="B7" sqref="B7"/>
      <pageMargins left="0" right="0" top="0" bottom="0" header="0" footer="0"/>
      <pageSetup paperSize="9" orientation="portrait" verticalDpi="0" r:id="rId1"/>
      <headerFooter>
        <oddHeader>&amp;LINSERT YOUR NHS Foundation Trust&amp;RStatement of accounts 2014/15</oddHeader>
      </headerFooter>
    </customSheetView>
  </customSheetViews>
  <pageMargins left="0.70866141732283472" right="0.70866141732283472" top="0.74803149606299213" bottom="0.74803149606299213" header="0.31496062992125984" footer="0.31496062992125984"/>
  <pageSetup paperSize="9" fitToHeight="0" orientation="portrait" verticalDpi="0" r:id="rId2"/>
  <headerFooter>
    <oddFooter>&amp;RPage &amp;P of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0">
    <tabColor theme="8" tint="0.39997558519241921"/>
    <pageSetUpPr fitToPage="1"/>
  </sheetPr>
  <dimension ref="A1:L70"/>
  <sheetViews>
    <sheetView showGridLines="0" topLeftCell="A9" zoomScaleNormal="100" workbookViewId="0">
      <selection activeCell="O35" sqref="O35"/>
    </sheetView>
  </sheetViews>
  <sheetFormatPr defaultColWidth="9.140625" defaultRowHeight="14.1" customHeight="1" x14ac:dyDescent="0.2"/>
  <cols>
    <col min="1" max="1" width="0.42578125" style="176" customWidth="1"/>
    <col min="2" max="2" width="51.7109375" style="169" customWidth="1"/>
    <col min="3" max="3" width="8.85546875" style="169" customWidth="1"/>
    <col min="4" max="4" width="9.7109375" style="169" customWidth="1"/>
    <col min="5" max="5" width="9.140625" style="169" hidden="1" customWidth="1"/>
    <col min="6" max="6" width="11.28515625" style="169" customWidth="1"/>
    <col min="7" max="8" width="9.7109375" style="169" customWidth="1"/>
    <col min="9" max="9" width="11" style="169" customWidth="1"/>
    <col min="10" max="10" width="9.7109375" style="169" customWidth="1"/>
    <col min="11" max="11" width="10" style="169" hidden="1" customWidth="1"/>
    <col min="12" max="12" width="9.42578125" style="169" customWidth="1"/>
    <col min="13" max="16384" width="9.140625" style="169"/>
  </cols>
  <sheetData>
    <row r="1" spans="1:12" s="313" customFormat="1" ht="14.1" customHeight="1" x14ac:dyDescent="0.2">
      <c r="A1" s="350" t="s">
        <v>1310</v>
      </c>
      <c r="B1" s="351"/>
      <c r="C1" s="351"/>
      <c r="D1" s="351"/>
      <c r="E1" s="351"/>
      <c r="F1" s="351"/>
      <c r="G1" s="351"/>
      <c r="H1" s="351"/>
      <c r="I1" s="351"/>
      <c r="J1" s="351"/>
      <c r="K1" s="351"/>
      <c r="L1" s="351"/>
    </row>
    <row r="2" spans="1:12" s="313" customFormat="1" ht="14.1" customHeight="1" x14ac:dyDescent="0.2">
      <c r="A2" s="205"/>
    </row>
    <row r="3" spans="1:12" ht="14.1" customHeight="1" x14ac:dyDescent="0.2">
      <c r="A3" s="205">
        <f>ROUNDDOWN('Intangibles (trust)'!A34,0)+1.1</f>
        <v>16.100000000000001</v>
      </c>
      <c r="B3" s="289" t="str">
        <f>"Note "&amp;A3&amp; " Property, plant and equipment - " &amp; CurrentFY</f>
        <v>Note 16.1 Property, plant and equipment - 2021/22</v>
      </c>
      <c r="C3" s="313"/>
      <c r="D3" s="190"/>
      <c r="E3" s="314"/>
      <c r="F3" s="314"/>
      <c r="G3" s="314"/>
      <c r="H3" s="314"/>
      <c r="I3" s="314"/>
      <c r="J3" s="314"/>
      <c r="K3" s="314"/>
      <c r="L3" s="314"/>
    </row>
    <row r="4" spans="1:12" ht="54.75" customHeight="1" x14ac:dyDescent="0.2">
      <c r="A4" s="205"/>
      <c r="B4" s="316" t="s">
        <v>500</v>
      </c>
      <c r="C4" s="290" t="s">
        <v>687</v>
      </c>
      <c r="D4" s="290" t="s">
        <v>964</v>
      </c>
      <c r="E4" s="290" t="s">
        <v>689</v>
      </c>
      <c r="F4" s="290" t="s">
        <v>965</v>
      </c>
      <c r="G4" s="290" t="s">
        <v>690</v>
      </c>
      <c r="H4" s="290" t="s">
        <v>691</v>
      </c>
      <c r="I4" s="290" t="s">
        <v>692</v>
      </c>
      <c r="J4" s="290" t="s">
        <v>693</v>
      </c>
      <c r="K4" s="290" t="s">
        <v>966</v>
      </c>
      <c r="L4" s="290" t="s">
        <v>953</v>
      </c>
    </row>
    <row r="5" spans="1:12" ht="14.1" customHeight="1" x14ac:dyDescent="0.2">
      <c r="A5" s="205"/>
      <c r="B5" s="316"/>
      <c r="C5" s="290" t="s">
        <v>590</v>
      </c>
      <c r="D5" s="290" t="s">
        <v>590</v>
      </c>
      <c r="E5" s="290" t="s">
        <v>502</v>
      </c>
      <c r="F5" s="290" t="s">
        <v>502</v>
      </c>
      <c r="G5" s="290" t="s">
        <v>502</v>
      </c>
      <c r="H5" s="290" t="s">
        <v>502</v>
      </c>
      <c r="I5" s="290" t="s">
        <v>502</v>
      </c>
      <c r="J5" s="290" t="s">
        <v>502</v>
      </c>
      <c r="K5" s="290" t="s">
        <v>502</v>
      </c>
      <c r="L5" s="290" t="s">
        <v>590</v>
      </c>
    </row>
    <row r="6" spans="1:12" ht="26.45" customHeight="1" x14ac:dyDescent="0.2">
      <c r="A6" s="205"/>
      <c r="B6" s="316" t="str">
        <f>"Valuation/gross cost at " &amp; TEXT(CurrentYearStart,"d mmmm yyyy") &amp; " - brought forward"</f>
        <v>Valuation/gross cost at 1 April 2021 - brought forward</v>
      </c>
      <c r="C6" s="220">
        <f>C49</f>
        <v>23670.999899999999</v>
      </c>
      <c r="D6" s="220">
        <f t="shared" ref="D6:K6" si="0">D49</f>
        <v>47217.80502</v>
      </c>
      <c r="E6" s="220">
        <f t="shared" si="0"/>
        <v>0</v>
      </c>
      <c r="F6" s="220">
        <f t="shared" si="0"/>
        <v>8913.36096</v>
      </c>
      <c r="G6" s="220">
        <f t="shared" si="0"/>
        <v>41518.724159999998</v>
      </c>
      <c r="H6" s="220">
        <f t="shared" si="0"/>
        <v>5.2107000000000001</v>
      </c>
      <c r="I6" s="220">
        <f t="shared" si="0"/>
        <v>13935.665000000001</v>
      </c>
      <c r="J6" s="220">
        <f t="shared" si="0"/>
        <v>2226.1000300000001</v>
      </c>
      <c r="K6" s="220">
        <f t="shared" si="0"/>
        <v>0</v>
      </c>
      <c r="L6" s="220">
        <f>SUM(C6:K6)</f>
        <v>137487.86577</v>
      </c>
    </row>
    <row r="7" spans="1:12" ht="24.6" hidden="1" customHeight="1" x14ac:dyDescent="0.2">
      <c r="A7" s="205"/>
      <c r="B7" s="316" t="s">
        <v>967</v>
      </c>
      <c r="C7" s="220">
        <v>0</v>
      </c>
      <c r="D7" s="220">
        <v>0</v>
      </c>
      <c r="E7" s="220">
        <v>0</v>
      </c>
      <c r="F7" s="220">
        <v>0</v>
      </c>
      <c r="G7" s="220">
        <v>0</v>
      </c>
      <c r="H7" s="220">
        <v>0</v>
      </c>
      <c r="I7" s="220">
        <v>0</v>
      </c>
      <c r="J7" s="220">
        <v>0</v>
      </c>
      <c r="K7" s="220">
        <v>0</v>
      </c>
      <c r="L7" s="220">
        <f t="shared" ref="L7:L15" si="1">SUM(C7:K7)</f>
        <v>0</v>
      </c>
    </row>
    <row r="8" spans="1:12" ht="14.1" hidden="1" customHeight="1" x14ac:dyDescent="0.2">
      <c r="A8" s="205"/>
      <c r="B8" s="327" t="s">
        <v>962</v>
      </c>
      <c r="C8" s="219">
        <v>0</v>
      </c>
      <c r="D8" s="219">
        <v>0</v>
      </c>
      <c r="E8" s="219">
        <v>0</v>
      </c>
      <c r="F8" s="219">
        <v>0</v>
      </c>
      <c r="G8" s="219">
        <v>0</v>
      </c>
      <c r="H8" s="219">
        <v>0</v>
      </c>
      <c r="I8" s="219">
        <v>0</v>
      </c>
      <c r="J8" s="219">
        <v>0</v>
      </c>
      <c r="K8" s="219">
        <v>0</v>
      </c>
      <c r="L8" s="220">
        <f t="shared" si="1"/>
        <v>0</v>
      </c>
    </row>
    <row r="9" spans="1:12" ht="14.1" customHeight="1" x14ac:dyDescent="0.2">
      <c r="A9" s="205"/>
      <c r="B9" s="327" t="s">
        <v>956</v>
      </c>
      <c r="C9" s="219">
        <v>0</v>
      </c>
      <c r="D9" s="219">
        <v>3196</v>
      </c>
      <c r="E9" s="219">
        <v>0</v>
      </c>
      <c r="F9" s="219">
        <v>3896</v>
      </c>
      <c r="G9" s="219">
        <v>5511</v>
      </c>
      <c r="H9" s="219">
        <v>0</v>
      </c>
      <c r="I9" s="219">
        <v>625</v>
      </c>
      <c r="J9" s="219">
        <v>71</v>
      </c>
      <c r="K9" s="219">
        <v>0</v>
      </c>
      <c r="L9" s="220">
        <f>SUM(C9:K9)</f>
        <v>13299</v>
      </c>
    </row>
    <row r="10" spans="1:12" ht="12" x14ac:dyDescent="0.2">
      <c r="A10" s="205"/>
      <c r="B10" s="327" t="s">
        <v>597</v>
      </c>
      <c r="C10" s="219">
        <v>0</v>
      </c>
      <c r="D10" s="219">
        <v>-29</v>
      </c>
      <c r="E10" s="219">
        <v>0</v>
      </c>
      <c r="F10" s="219">
        <v>0</v>
      </c>
      <c r="G10" s="219">
        <v>0</v>
      </c>
      <c r="H10" s="219">
        <v>0</v>
      </c>
      <c r="I10" s="219">
        <v>0</v>
      </c>
      <c r="J10" s="219">
        <v>0</v>
      </c>
      <c r="K10" s="219">
        <v>0</v>
      </c>
      <c r="L10" s="220">
        <f t="shared" si="1"/>
        <v>-29</v>
      </c>
    </row>
    <row r="11" spans="1:12" ht="12" hidden="1" x14ac:dyDescent="0.2">
      <c r="A11" s="205"/>
      <c r="B11" s="327" t="s">
        <v>957</v>
      </c>
      <c r="C11" s="219">
        <v>0</v>
      </c>
      <c r="D11" s="219">
        <v>0</v>
      </c>
      <c r="E11" s="219">
        <v>0</v>
      </c>
      <c r="F11" s="219">
        <v>0</v>
      </c>
      <c r="G11" s="219">
        <v>0</v>
      </c>
      <c r="H11" s="219">
        <v>0</v>
      </c>
      <c r="I11" s="219">
        <v>0</v>
      </c>
      <c r="J11" s="219">
        <v>0</v>
      </c>
      <c r="K11" s="219">
        <v>0</v>
      </c>
      <c r="L11" s="220">
        <f t="shared" si="1"/>
        <v>0</v>
      </c>
    </row>
    <row r="12" spans="1:12" ht="14.1" customHeight="1" x14ac:dyDescent="0.2">
      <c r="A12" s="205"/>
      <c r="B12" s="327" t="s">
        <v>958</v>
      </c>
      <c r="C12" s="219">
        <v>2366</v>
      </c>
      <c r="D12" s="219">
        <v>870</v>
      </c>
      <c r="E12" s="219">
        <v>0</v>
      </c>
      <c r="F12" s="219">
        <v>0</v>
      </c>
      <c r="G12" s="219">
        <v>0</v>
      </c>
      <c r="H12" s="219">
        <v>0</v>
      </c>
      <c r="I12" s="219">
        <v>0</v>
      </c>
      <c r="J12" s="219">
        <v>0</v>
      </c>
      <c r="K12" s="219">
        <v>0</v>
      </c>
      <c r="L12" s="220">
        <f t="shared" si="1"/>
        <v>3236</v>
      </c>
    </row>
    <row r="13" spans="1:12" ht="12" hidden="1" x14ac:dyDescent="0.2">
      <c r="A13" s="205"/>
      <c r="B13" s="327" t="s">
        <v>959</v>
      </c>
      <c r="C13" s="219">
        <v>0</v>
      </c>
      <c r="D13" s="219">
        <v>0</v>
      </c>
      <c r="E13" s="219">
        <v>0</v>
      </c>
      <c r="F13" s="219">
        <v>0</v>
      </c>
      <c r="G13" s="219">
        <v>0</v>
      </c>
      <c r="H13" s="219">
        <v>0</v>
      </c>
      <c r="I13" s="219">
        <v>0</v>
      </c>
      <c r="J13" s="219">
        <v>0</v>
      </c>
      <c r="K13" s="219">
        <v>0</v>
      </c>
      <c r="L13" s="220">
        <f t="shared" si="1"/>
        <v>0</v>
      </c>
    </row>
    <row r="14" spans="1:12" ht="12" x14ac:dyDescent="0.2">
      <c r="A14" s="205"/>
      <c r="B14" s="426" t="s">
        <v>1426</v>
      </c>
      <c r="C14" s="219">
        <v>0</v>
      </c>
      <c r="D14" s="219">
        <v>29</v>
      </c>
      <c r="E14" s="219">
        <v>0</v>
      </c>
      <c r="F14" s="219">
        <v>0</v>
      </c>
      <c r="G14" s="219">
        <v>193</v>
      </c>
      <c r="H14" s="219">
        <v>0</v>
      </c>
      <c r="I14" s="219">
        <v>8</v>
      </c>
      <c r="J14" s="219">
        <v>11</v>
      </c>
      <c r="K14" s="219">
        <v>0</v>
      </c>
      <c r="L14" s="220">
        <f t="shared" si="1"/>
        <v>241</v>
      </c>
    </row>
    <row r="15" spans="1:12" ht="14.1" customHeight="1" x14ac:dyDescent="0.2">
      <c r="A15" s="205"/>
      <c r="B15" s="327" t="s">
        <v>1446</v>
      </c>
      <c r="C15" s="219">
        <v>0</v>
      </c>
      <c r="D15" s="219">
        <v>-1186</v>
      </c>
      <c r="E15" s="219">
        <v>0</v>
      </c>
      <c r="F15" s="219">
        <v>0</v>
      </c>
      <c r="G15" s="219">
        <v>-8738</v>
      </c>
      <c r="H15" s="219">
        <v>0</v>
      </c>
      <c r="I15" s="219">
        <v>-6136</v>
      </c>
      <c r="J15" s="219">
        <v>-888</v>
      </c>
      <c r="K15" s="219">
        <v>0</v>
      </c>
      <c r="L15" s="220">
        <f t="shared" si="1"/>
        <v>-16948</v>
      </c>
    </row>
    <row r="16" spans="1:12" ht="14.1" customHeight="1" thickBot="1" x14ac:dyDescent="0.25">
      <c r="A16" s="205"/>
      <c r="B16" s="289" t="str">
        <f>"Valuation/gross cost at " &amp; TEXT(CurrentYearEnd, "d mmmm yyyy")</f>
        <v>Valuation/gross cost at 31 March 2022</v>
      </c>
      <c r="C16" s="206">
        <f t="shared" ref="C16:L16" si="2">SUM(C6:C15)</f>
        <v>26036.999899999999</v>
      </c>
      <c r="D16" s="206">
        <f t="shared" si="2"/>
        <v>50097.80502</v>
      </c>
      <c r="E16" s="206">
        <f t="shared" si="2"/>
        <v>0</v>
      </c>
      <c r="F16" s="206">
        <f t="shared" si="2"/>
        <v>12809.36096</v>
      </c>
      <c r="G16" s="206">
        <f t="shared" si="2"/>
        <v>38484.724159999998</v>
      </c>
      <c r="H16" s="206">
        <f t="shared" si="2"/>
        <v>5.2107000000000001</v>
      </c>
      <c r="I16" s="206">
        <f t="shared" si="2"/>
        <v>8432.6650000000009</v>
      </c>
      <c r="J16" s="206">
        <f t="shared" si="2"/>
        <v>1420.1000300000001</v>
      </c>
      <c r="K16" s="206">
        <f t="shared" si="2"/>
        <v>0</v>
      </c>
      <c r="L16" s="206">
        <f t="shared" si="2"/>
        <v>137286.86577</v>
      </c>
    </row>
    <row r="17" spans="1:12" ht="14.1" customHeight="1" thickTop="1" x14ac:dyDescent="0.2">
      <c r="A17" s="205"/>
      <c r="B17" s="316"/>
      <c r="C17" s="199"/>
      <c r="D17" s="199"/>
      <c r="E17" s="199"/>
      <c r="F17" s="199"/>
      <c r="G17" s="199"/>
      <c r="H17" s="199"/>
      <c r="I17" s="199"/>
      <c r="J17" s="199"/>
      <c r="K17" s="199"/>
      <c r="L17" s="199"/>
    </row>
    <row r="18" spans="1:12" ht="28.35" customHeight="1" x14ac:dyDescent="0.2">
      <c r="A18" s="205"/>
      <c r="B18" s="316" t="str">
        <f>"Accumulated depreciation at " &amp; TEXT(CurrentYearStart,"d mmmm yyyy")&amp; " - brought forward"</f>
        <v>Accumulated depreciation at 1 April 2021 - brought forward</v>
      </c>
      <c r="C18" s="220">
        <f>C63</f>
        <v>0</v>
      </c>
      <c r="D18" s="220">
        <f t="shared" ref="D18:K18" si="3">D63</f>
        <v>2715.1977399999996</v>
      </c>
      <c r="E18" s="220">
        <f t="shared" si="3"/>
        <v>0</v>
      </c>
      <c r="F18" s="220">
        <f t="shared" si="3"/>
        <v>0</v>
      </c>
      <c r="G18" s="220">
        <f t="shared" si="3"/>
        <v>24909.066999999999</v>
      </c>
      <c r="H18" s="220">
        <f t="shared" si="3"/>
        <v>5.2107000000000001</v>
      </c>
      <c r="I18" s="220">
        <f t="shared" si="3"/>
        <v>11184.315479999999</v>
      </c>
      <c r="J18" s="220">
        <f t="shared" si="3"/>
        <v>1780.5351599999999</v>
      </c>
      <c r="K18" s="220">
        <f t="shared" si="3"/>
        <v>0</v>
      </c>
      <c r="L18" s="220">
        <f t="shared" ref="L18:L27" si="4">SUM(C18:K18)</f>
        <v>40594.326079999999</v>
      </c>
    </row>
    <row r="19" spans="1:12" ht="14.1" hidden="1" customHeight="1" x14ac:dyDescent="0.2">
      <c r="A19" s="205"/>
      <c r="B19" s="316" t="s">
        <v>968</v>
      </c>
      <c r="C19" s="220">
        <v>0</v>
      </c>
      <c r="D19" s="220">
        <v>0</v>
      </c>
      <c r="E19" s="220">
        <v>0</v>
      </c>
      <c r="F19" s="220">
        <v>0</v>
      </c>
      <c r="G19" s="220">
        <v>0</v>
      </c>
      <c r="H19" s="220">
        <v>0</v>
      </c>
      <c r="I19" s="220">
        <v>0</v>
      </c>
      <c r="J19" s="220">
        <v>0</v>
      </c>
      <c r="K19" s="220">
        <v>0</v>
      </c>
      <c r="L19" s="220">
        <f t="shared" si="4"/>
        <v>0</v>
      </c>
    </row>
    <row r="20" spans="1:12" ht="14.1" hidden="1" customHeight="1" x14ac:dyDescent="0.2">
      <c r="A20" s="205"/>
      <c r="B20" s="327" t="s">
        <v>962</v>
      </c>
      <c r="C20" s="304">
        <v>0</v>
      </c>
      <c r="D20" s="304">
        <v>0</v>
      </c>
      <c r="E20" s="304">
        <v>0</v>
      </c>
      <c r="F20" s="304">
        <v>0</v>
      </c>
      <c r="G20" s="304">
        <v>0</v>
      </c>
      <c r="H20" s="304">
        <v>0</v>
      </c>
      <c r="I20" s="304">
        <v>0</v>
      </c>
      <c r="J20" s="304">
        <v>0</v>
      </c>
      <c r="K20" s="304">
        <v>0</v>
      </c>
      <c r="L20" s="220">
        <f t="shared" si="4"/>
        <v>0</v>
      </c>
    </row>
    <row r="21" spans="1:12" ht="14.1" customHeight="1" x14ac:dyDescent="0.2">
      <c r="A21" s="205"/>
      <c r="B21" s="327" t="s">
        <v>963</v>
      </c>
      <c r="C21" s="304">
        <v>0</v>
      </c>
      <c r="D21" s="304">
        <v>2819</v>
      </c>
      <c r="E21" s="304">
        <v>0</v>
      </c>
      <c r="F21" s="304">
        <v>0</v>
      </c>
      <c r="G21" s="304">
        <v>3256</v>
      </c>
      <c r="H21" s="304">
        <v>0</v>
      </c>
      <c r="I21" s="304">
        <v>1206</v>
      </c>
      <c r="J21" s="304">
        <v>133</v>
      </c>
      <c r="K21" s="304">
        <v>0</v>
      </c>
      <c r="L21" s="220">
        <f t="shared" si="4"/>
        <v>7414</v>
      </c>
    </row>
    <row r="22" spans="1:12" ht="14.1" hidden="1" customHeight="1" x14ac:dyDescent="0.2">
      <c r="A22" s="205"/>
      <c r="B22" s="327" t="s">
        <v>597</v>
      </c>
      <c r="C22" s="219">
        <v>0</v>
      </c>
      <c r="D22" s="219">
        <v>0</v>
      </c>
      <c r="E22" s="219">
        <v>0</v>
      </c>
      <c r="F22" s="219">
        <v>0</v>
      </c>
      <c r="G22" s="219">
        <v>0</v>
      </c>
      <c r="H22" s="219">
        <v>0</v>
      </c>
      <c r="I22" s="219">
        <v>0</v>
      </c>
      <c r="J22" s="219">
        <v>0</v>
      </c>
      <c r="K22" s="219">
        <v>0</v>
      </c>
      <c r="L22" s="220">
        <f t="shared" si="4"/>
        <v>0</v>
      </c>
    </row>
    <row r="23" spans="1:12" ht="14.1" hidden="1" customHeight="1" x14ac:dyDescent="0.2">
      <c r="A23" s="205"/>
      <c r="B23" s="327" t="s">
        <v>957</v>
      </c>
      <c r="C23" s="219">
        <v>0</v>
      </c>
      <c r="D23" s="219">
        <v>0</v>
      </c>
      <c r="E23" s="219">
        <v>0</v>
      </c>
      <c r="F23" s="219">
        <v>0</v>
      </c>
      <c r="G23" s="219">
        <v>0</v>
      </c>
      <c r="H23" s="219">
        <v>0</v>
      </c>
      <c r="I23" s="219">
        <v>0</v>
      </c>
      <c r="J23" s="219">
        <v>0</v>
      </c>
      <c r="K23" s="219">
        <v>0</v>
      </c>
      <c r="L23" s="220">
        <f t="shared" si="4"/>
        <v>0</v>
      </c>
    </row>
    <row r="24" spans="1:12" ht="14.1" hidden="1" customHeight="1" x14ac:dyDescent="0.2">
      <c r="A24" s="205"/>
      <c r="B24" s="327" t="s">
        <v>958</v>
      </c>
      <c r="C24" s="219">
        <v>0</v>
      </c>
      <c r="D24" s="219">
        <v>0</v>
      </c>
      <c r="E24" s="219">
        <v>0</v>
      </c>
      <c r="F24" s="219">
        <v>0</v>
      </c>
      <c r="G24" s="219">
        <v>0</v>
      </c>
      <c r="H24" s="219">
        <v>0</v>
      </c>
      <c r="I24" s="219">
        <v>0</v>
      </c>
      <c r="J24" s="219">
        <v>0</v>
      </c>
      <c r="K24" s="219">
        <v>0</v>
      </c>
      <c r="L24" s="220">
        <f t="shared" si="4"/>
        <v>0</v>
      </c>
    </row>
    <row r="25" spans="1:12" ht="14.1" hidden="1" customHeight="1" x14ac:dyDescent="0.2">
      <c r="A25" s="205"/>
      <c r="B25" s="327" t="s">
        <v>959</v>
      </c>
      <c r="C25" s="219">
        <v>0</v>
      </c>
      <c r="D25" s="219">
        <v>0</v>
      </c>
      <c r="E25" s="219">
        <v>0</v>
      </c>
      <c r="F25" s="219">
        <v>0</v>
      </c>
      <c r="G25" s="219">
        <v>0</v>
      </c>
      <c r="H25" s="219">
        <v>0</v>
      </c>
      <c r="I25" s="219">
        <v>0</v>
      </c>
      <c r="J25" s="219">
        <v>0</v>
      </c>
      <c r="K25" s="219">
        <v>0</v>
      </c>
      <c r="L25" s="220">
        <f t="shared" si="4"/>
        <v>0</v>
      </c>
    </row>
    <row r="26" spans="1:12" ht="12" x14ac:dyDescent="0.2">
      <c r="A26" s="205"/>
      <c r="B26" s="426" t="s">
        <v>1426</v>
      </c>
      <c r="C26" s="219">
        <v>0</v>
      </c>
      <c r="D26" s="219">
        <v>0</v>
      </c>
      <c r="E26" s="219">
        <v>0</v>
      </c>
      <c r="F26" s="219">
        <v>0</v>
      </c>
      <c r="G26" s="219">
        <v>163</v>
      </c>
      <c r="H26" s="219">
        <v>0</v>
      </c>
      <c r="I26" s="219">
        <v>0</v>
      </c>
      <c r="J26" s="219">
        <v>0</v>
      </c>
      <c r="K26" s="219">
        <v>0</v>
      </c>
      <c r="L26" s="220">
        <f t="shared" si="4"/>
        <v>163</v>
      </c>
    </row>
    <row r="27" spans="1:12" ht="14.1" customHeight="1" x14ac:dyDescent="0.2">
      <c r="A27" s="205"/>
      <c r="B27" s="327" t="s">
        <v>1446</v>
      </c>
      <c r="C27" s="219">
        <v>0</v>
      </c>
      <c r="D27" s="219">
        <v>-1185</v>
      </c>
      <c r="E27" s="219">
        <v>0</v>
      </c>
      <c r="F27" s="219">
        <v>0</v>
      </c>
      <c r="G27" s="219">
        <v>-8709</v>
      </c>
      <c r="H27" s="219">
        <v>0</v>
      </c>
      <c r="I27" s="219">
        <v>-6136</v>
      </c>
      <c r="J27" s="219">
        <v>-888</v>
      </c>
      <c r="K27" s="219">
        <v>0</v>
      </c>
      <c r="L27" s="220">
        <f t="shared" si="4"/>
        <v>-16918</v>
      </c>
    </row>
    <row r="28" spans="1:12" ht="13.5" customHeight="1" thickBot="1" x14ac:dyDescent="0.25">
      <c r="A28" s="205"/>
      <c r="B28" s="326" t="str">
        <f>"Accumulated depreciation at " &amp; TEXT(CurrentYearEnd, "d mmmm yyyy")</f>
        <v>Accumulated depreciation at 31 March 2022</v>
      </c>
      <c r="C28" s="206">
        <f t="shared" ref="C28:L28" si="5">SUM(C18:C27)</f>
        <v>0</v>
      </c>
      <c r="D28" s="206">
        <f t="shared" si="5"/>
        <v>4349.1977399999996</v>
      </c>
      <c r="E28" s="206">
        <f t="shared" si="5"/>
        <v>0</v>
      </c>
      <c r="F28" s="206">
        <f t="shared" si="5"/>
        <v>0</v>
      </c>
      <c r="G28" s="206">
        <f t="shared" si="5"/>
        <v>19619.066999999999</v>
      </c>
      <c r="H28" s="206">
        <f t="shared" si="5"/>
        <v>5.2107000000000001</v>
      </c>
      <c r="I28" s="206">
        <f t="shared" si="5"/>
        <v>6254.3154799999993</v>
      </c>
      <c r="J28" s="206">
        <f t="shared" si="5"/>
        <v>1025.5351599999999</v>
      </c>
      <c r="K28" s="206">
        <f t="shared" si="5"/>
        <v>0</v>
      </c>
      <c r="L28" s="206">
        <f t="shared" si="5"/>
        <v>31253.326079999999</v>
      </c>
    </row>
    <row r="29" spans="1:12" ht="14.1" customHeight="1" thickTop="1" x14ac:dyDescent="0.2">
      <c r="A29" s="205"/>
      <c r="B29" s="316"/>
      <c r="C29" s="203"/>
      <c r="D29" s="203"/>
      <c r="E29" s="203"/>
      <c r="F29" s="203"/>
      <c r="G29" s="203"/>
      <c r="H29" s="203"/>
      <c r="I29" s="203"/>
      <c r="J29" s="203"/>
      <c r="K29" s="203"/>
      <c r="L29" s="203"/>
    </row>
    <row r="30" spans="1:12" ht="14.1" customHeight="1" x14ac:dyDescent="0.2">
      <c r="A30" s="205"/>
      <c r="B30" s="316" t="str">
        <f>"Net book value at "&amp; TEXT(CurrentYearEnd, "d mmmm yyyy")</f>
        <v>Net book value at 31 March 2022</v>
      </c>
      <c r="C30" s="220">
        <f t="shared" ref="C30:K30" si="6">C16-C28</f>
        <v>26036.999899999999</v>
      </c>
      <c r="D30" s="220">
        <f t="shared" si="6"/>
        <v>45748.607279999997</v>
      </c>
      <c r="E30" s="220">
        <f t="shared" si="6"/>
        <v>0</v>
      </c>
      <c r="F30" s="220">
        <f t="shared" si="6"/>
        <v>12809.36096</v>
      </c>
      <c r="G30" s="220">
        <f t="shared" si="6"/>
        <v>18865.657159999999</v>
      </c>
      <c r="H30" s="220">
        <f t="shared" si="6"/>
        <v>0</v>
      </c>
      <c r="I30" s="220">
        <f t="shared" si="6"/>
        <v>2178.3495200000016</v>
      </c>
      <c r="J30" s="220">
        <f t="shared" si="6"/>
        <v>394.56487000000016</v>
      </c>
      <c r="K30" s="220">
        <f t="shared" si="6"/>
        <v>0</v>
      </c>
      <c r="L30" s="220">
        <f>SUM(C30:K30)</f>
        <v>106033.53969000001</v>
      </c>
    </row>
    <row r="31" spans="1:12" ht="14.1" customHeight="1" x14ac:dyDescent="0.2">
      <c r="A31" s="205"/>
      <c r="B31" s="316" t="str">
        <f>"Net book value at "&amp; TEXT(CurrentYearStart,"d mmmm yyyy")</f>
        <v>Net book value at 1 April 2021</v>
      </c>
      <c r="C31" s="220">
        <f t="shared" ref="C31:K31" si="7">C6-C18</f>
        <v>23670.999899999999</v>
      </c>
      <c r="D31" s="220">
        <f t="shared" si="7"/>
        <v>44502.607279999997</v>
      </c>
      <c r="E31" s="220">
        <f t="shared" si="7"/>
        <v>0</v>
      </c>
      <c r="F31" s="220">
        <f t="shared" si="7"/>
        <v>8913.36096</v>
      </c>
      <c r="G31" s="220">
        <f t="shared" si="7"/>
        <v>16609.657159999999</v>
      </c>
      <c r="H31" s="220">
        <f t="shared" si="7"/>
        <v>0</v>
      </c>
      <c r="I31" s="220">
        <f t="shared" si="7"/>
        <v>2751.3495200000016</v>
      </c>
      <c r="J31" s="220">
        <f t="shared" si="7"/>
        <v>445.56487000000016</v>
      </c>
      <c r="K31" s="220">
        <f t="shared" si="7"/>
        <v>0</v>
      </c>
      <c r="L31" s="220">
        <f t="shared" ref="L31" si="8">SUM(C31:K31)</f>
        <v>96893.539690000005</v>
      </c>
    </row>
    <row r="32" spans="1:12" ht="14.1" customHeight="1" x14ac:dyDescent="0.2">
      <c r="A32" s="205"/>
      <c r="B32" s="313"/>
      <c r="C32" s="171"/>
      <c r="D32" s="171"/>
      <c r="E32" s="171"/>
      <c r="F32" s="171"/>
      <c r="G32" s="171"/>
      <c r="H32" s="171"/>
      <c r="I32" s="171"/>
      <c r="J32" s="171"/>
      <c r="K32" s="171"/>
      <c r="L32" s="171"/>
    </row>
    <row r="33" spans="1:12" ht="12" x14ac:dyDescent="0.2">
      <c r="A33" s="205"/>
      <c r="B33" s="313"/>
      <c r="C33" s="313"/>
      <c r="D33" s="313"/>
      <c r="E33" s="171"/>
      <c r="F33" s="171"/>
      <c r="G33" s="171"/>
      <c r="H33" s="171"/>
      <c r="I33" s="171"/>
      <c r="J33" s="171"/>
      <c r="K33" s="171"/>
      <c r="L33" s="171"/>
    </row>
    <row r="34" spans="1:12" ht="14.1" customHeight="1" x14ac:dyDescent="0.2">
      <c r="A34" s="205">
        <f>A3+0.1</f>
        <v>16.200000000000003</v>
      </c>
      <c r="B34" s="289" t="str">
        <f>"Note "&amp; A34&amp; " Property, plant and equipment - " &amp; ComparativeFY</f>
        <v>Note 16.2 Property, plant and equipment - 2020/21</v>
      </c>
      <c r="C34" s="313"/>
      <c r="D34" s="313"/>
      <c r="E34" s="313"/>
      <c r="F34" s="313"/>
      <c r="G34" s="313"/>
      <c r="H34" s="313"/>
      <c r="I34" s="313"/>
      <c r="J34" s="313"/>
      <c r="K34" s="313"/>
      <c r="L34" s="313"/>
    </row>
    <row r="35" spans="1:12" ht="38.25" customHeight="1" x14ac:dyDescent="0.2">
      <c r="B35" s="316" t="s">
        <v>500</v>
      </c>
      <c r="C35" s="290" t="s">
        <v>687</v>
      </c>
      <c r="D35" s="290" t="s">
        <v>964</v>
      </c>
      <c r="E35" s="290" t="s">
        <v>689</v>
      </c>
      <c r="F35" s="290" t="s">
        <v>965</v>
      </c>
      <c r="G35" s="290" t="s">
        <v>690</v>
      </c>
      <c r="H35" s="290" t="s">
        <v>691</v>
      </c>
      <c r="I35" s="290" t="s">
        <v>692</v>
      </c>
      <c r="J35" s="290" t="s">
        <v>693</v>
      </c>
      <c r="K35" s="290" t="s">
        <v>966</v>
      </c>
      <c r="L35" s="290" t="s">
        <v>953</v>
      </c>
    </row>
    <row r="36" spans="1:12" ht="14.1" customHeight="1" x14ac:dyDescent="0.2">
      <c r="B36" s="316"/>
      <c r="C36" s="290" t="s">
        <v>590</v>
      </c>
      <c r="D36" s="290" t="s">
        <v>590</v>
      </c>
      <c r="E36" s="290" t="s">
        <v>502</v>
      </c>
      <c r="F36" s="290" t="s">
        <v>502</v>
      </c>
      <c r="G36" s="290" t="s">
        <v>502</v>
      </c>
      <c r="H36" s="290" t="s">
        <v>502</v>
      </c>
      <c r="I36" s="290" t="s">
        <v>502</v>
      </c>
      <c r="J36" s="290" t="s">
        <v>502</v>
      </c>
      <c r="K36" s="290" t="s">
        <v>502</v>
      </c>
      <c r="L36" s="290" t="s">
        <v>590</v>
      </c>
    </row>
    <row r="37" spans="1:12" ht="24" customHeight="1" x14ac:dyDescent="0.2">
      <c r="B37" s="316" t="str">
        <f>"Valuation / gross cost at " &amp; TEXT(ComparativeYearStart, "d mmmm yyyy") &amp; " - as previously stated"</f>
        <v>Valuation / gross cost at 1 April 2020 - as previously stated</v>
      </c>
      <c r="C37" s="220">
        <v>21287.999899999999</v>
      </c>
      <c r="D37" s="220">
        <v>51538.80502</v>
      </c>
      <c r="E37" s="220">
        <v>0</v>
      </c>
      <c r="F37" s="220">
        <v>5212.36096</v>
      </c>
      <c r="G37" s="220">
        <v>35862.724159999998</v>
      </c>
      <c r="H37" s="220">
        <v>5.2107000000000001</v>
      </c>
      <c r="I37" s="220">
        <v>12831.665000000001</v>
      </c>
      <c r="J37" s="220">
        <v>2027.1000300000001</v>
      </c>
      <c r="K37" s="220">
        <v>0</v>
      </c>
      <c r="L37" s="220">
        <f>SUM(C37:K37)</f>
        <v>128765.86577</v>
      </c>
    </row>
    <row r="38" spans="1:12" ht="14.1" hidden="1" customHeight="1" x14ac:dyDescent="0.2">
      <c r="B38" s="327" t="s">
        <v>542</v>
      </c>
      <c r="C38" s="219">
        <v>0</v>
      </c>
      <c r="D38" s="219">
        <v>0</v>
      </c>
      <c r="E38" s="219">
        <v>0</v>
      </c>
      <c r="F38" s="219">
        <v>0</v>
      </c>
      <c r="G38" s="219">
        <v>0</v>
      </c>
      <c r="H38" s="219">
        <v>0</v>
      </c>
      <c r="I38" s="219">
        <v>0</v>
      </c>
      <c r="J38" s="219">
        <v>0</v>
      </c>
      <c r="K38" s="219">
        <v>0</v>
      </c>
      <c r="L38" s="220">
        <f>SUM(C38:K38)</f>
        <v>0</v>
      </c>
    </row>
    <row r="39" spans="1:12" ht="24.6" hidden="1" customHeight="1" x14ac:dyDescent="0.2">
      <c r="B39" s="316" t="str">
        <f>"Valuation / gross cost at " &amp; TEXT(ComparativeYearStart, "d mmmm yyyy") &amp; " - restated"</f>
        <v>Valuation / gross cost at 1 April 2020 - restated</v>
      </c>
      <c r="C39" s="207">
        <f>SUM(C37:C38)</f>
        <v>21287.999899999999</v>
      </c>
      <c r="D39" s="207">
        <f t="shared" ref="D39:K39" si="9">SUM(D37:D38)</f>
        <v>51538.80502</v>
      </c>
      <c r="E39" s="207">
        <f t="shared" si="9"/>
        <v>0</v>
      </c>
      <c r="F39" s="207">
        <f t="shared" si="9"/>
        <v>5212.36096</v>
      </c>
      <c r="G39" s="207">
        <f t="shared" si="9"/>
        <v>35862.724159999998</v>
      </c>
      <c r="H39" s="207">
        <f t="shared" si="9"/>
        <v>5.2107000000000001</v>
      </c>
      <c r="I39" s="207">
        <f t="shared" si="9"/>
        <v>12831.665000000001</v>
      </c>
      <c r="J39" s="207">
        <f t="shared" si="9"/>
        <v>2027.1000300000001</v>
      </c>
      <c r="K39" s="207">
        <f t="shared" si="9"/>
        <v>0</v>
      </c>
      <c r="L39" s="207">
        <f>SUM(C39:K39)</f>
        <v>128765.86577</v>
      </c>
    </row>
    <row r="40" spans="1:12" ht="12" hidden="1" x14ac:dyDescent="0.2">
      <c r="B40" s="316" t="s">
        <v>969</v>
      </c>
      <c r="C40" s="304">
        <v>0</v>
      </c>
      <c r="D40" s="304">
        <v>0</v>
      </c>
      <c r="E40" s="304">
        <v>0</v>
      </c>
      <c r="F40" s="304">
        <v>0</v>
      </c>
      <c r="G40" s="304">
        <v>0</v>
      </c>
      <c r="H40" s="304">
        <v>0</v>
      </c>
      <c r="I40" s="304">
        <v>0</v>
      </c>
      <c r="J40" s="304">
        <v>0</v>
      </c>
      <c r="K40" s="304">
        <v>0</v>
      </c>
      <c r="L40" s="220">
        <f t="shared" ref="L40:L48" si="10">SUM(C40:K40)</f>
        <v>0</v>
      </c>
    </row>
    <row r="41" spans="1:12" ht="14.1" hidden="1" customHeight="1" x14ac:dyDescent="0.2">
      <c r="B41" s="327" t="s">
        <v>962</v>
      </c>
      <c r="C41" s="304">
        <v>0</v>
      </c>
      <c r="D41" s="304">
        <v>0</v>
      </c>
      <c r="E41" s="304">
        <v>0</v>
      </c>
      <c r="F41" s="304">
        <v>0</v>
      </c>
      <c r="G41" s="304">
        <v>0</v>
      </c>
      <c r="H41" s="304">
        <v>0</v>
      </c>
      <c r="I41" s="304">
        <v>0</v>
      </c>
      <c r="J41" s="304">
        <v>0</v>
      </c>
      <c r="K41" s="304">
        <v>0</v>
      </c>
      <c r="L41" s="220">
        <f t="shared" si="10"/>
        <v>0</v>
      </c>
    </row>
    <row r="42" spans="1:12" ht="14.1" customHeight="1" x14ac:dyDescent="0.2">
      <c r="B42" s="183" t="s">
        <v>956</v>
      </c>
      <c r="C42" s="219">
        <v>0</v>
      </c>
      <c r="D42" s="219">
        <v>1863</v>
      </c>
      <c r="E42" s="219">
        <v>0</v>
      </c>
      <c r="F42" s="219">
        <v>3741</v>
      </c>
      <c r="G42" s="219">
        <v>7667</v>
      </c>
      <c r="H42" s="219">
        <v>0</v>
      </c>
      <c r="I42" s="219">
        <v>1235</v>
      </c>
      <c r="J42" s="219">
        <v>236</v>
      </c>
      <c r="K42" s="219">
        <v>0</v>
      </c>
      <c r="L42" s="220">
        <f t="shared" si="10"/>
        <v>14742</v>
      </c>
    </row>
    <row r="43" spans="1:12" ht="14.1" customHeight="1" x14ac:dyDescent="0.2">
      <c r="B43" s="327" t="s">
        <v>597</v>
      </c>
      <c r="C43" s="219">
        <v>0</v>
      </c>
      <c r="D43" s="219">
        <v>-5887</v>
      </c>
      <c r="E43" s="219">
        <v>0</v>
      </c>
      <c r="F43" s="219">
        <v>0</v>
      </c>
      <c r="G43" s="219">
        <v>0</v>
      </c>
      <c r="H43" s="219">
        <v>0</v>
      </c>
      <c r="I43" s="219">
        <v>0</v>
      </c>
      <c r="J43" s="219">
        <v>0</v>
      </c>
      <c r="K43" s="219">
        <v>0</v>
      </c>
      <c r="L43" s="220">
        <f t="shared" si="10"/>
        <v>-5887</v>
      </c>
    </row>
    <row r="44" spans="1:12" ht="14.1" customHeight="1" x14ac:dyDescent="0.2">
      <c r="B44" s="327" t="s">
        <v>957</v>
      </c>
      <c r="C44" s="209">
        <v>671</v>
      </c>
      <c r="D44" s="209">
        <v>0</v>
      </c>
      <c r="E44" s="209">
        <v>0</v>
      </c>
      <c r="F44" s="209">
        <v>0</v>
      </c>
      <c r="G44" s="209">
        <v>0</v>
      </c>
      <c r="H44" s="209">
        <v>0</v>
      </c>
      <c r="I44" s="209">
        <v>0</v>
      </c>
      <c r="J44" s="209">
        <v>0</v>
      </c>
      <c r="K44" s="209">
        <v>0</v>
      </c>
      <c r="L44" s="220">
        <f t="shared" si="10"/>
        <v>671</v>
      </c>
    </row>
    <row r="45" spans="1:12" ht="14.1" customHeight="1" x14ac:dyDescent="0.2">
      <c r="B45" s="327" t="s">
        <v>958</v>
      </c>
      <c r="C45" s="219">
        <v>1712</v>
      </c>
      <c r="D45" s="219">
        <v>0</v>
      </c>
      <c r="E45" s="219">
        <v>0</v>
      </c>
      <c r="F45" s="219">
        <v>0</v>
      </c>
      <c r="G45" s="219">
        <v>0</v>
      </c>
      <c r="H45" s="219">
        <v>0</v>
      </c>
      <c r="I45" s="219">
        <v>0</v>
      </c>
      <c r="J45" s="219">
        <v>0</v>
      </c>
      <c r="K45" s="219">
        <v>0</v>
      </c>
      <c r="L45" s="220">
        <f t="shared" si="10"/>
        <v>1712</v>
      </c>
    </row>
    <row r="46" spans="1:12" ht="14.1" hidden="1" customHeight="1" x14ac:dyDescent="0.2">
      <c r="B46" s="327" t="s">
        <v>959</v>
      </c>
      <c r="C46" s="219">
        <v>0</v>
      </c>
      <c r="D46" s="219">
        <v>0</v>
      </c>
      <c r="E46" s="219">
        <v>0</v>
      </c>
      <c r="F46" s="219">
        <v>0</v>
      </c>
      <c r="G46" s="219">
        <v>0</v>
      </c>
      <c r="H46" s="219">
        <v>0</v>
      </c>
      <c r="I46" s="219">
        <v>0</v>
      </c>
      <c r="J46" s="219">
        <v>0</v>
      </c>
      <c r="K46" s="219">
        <v>0</v>
      </c>
      <c r="L46" s="220">
        <f t="shared" si="10"/>
        <v>0</v>
      </c>
    </row>
    <row r="47" spans="1:12" ht="13.7" customHeight="1" x14ac:dyDescent="0.2">
      <c r="B47" s="426" t="s">
        <v>1425</v>
      </c>
      <c r="C47" s="219">
        <v>0</v>
      </c>
      <c r="D47" s="219">
        <v>-236</v>
      </c>
      <c r="E47" s="219">
        <v>0</v>
      </c>
      <c r="F47" s="219">
        <v>-40</v>
      </c>
      <c r="G47" s="219">
        <v>-358</v>
      </c>
      <c r="H47" s="219">
        <v>0</v>
      </c>
      <c r="I47" s="219">
        <v>-117</v>
      </c>
      <c r="J47" s="219">
        <v>-29</v>
      </c>
      <c r="K47" s="219">
        <v>0</v>
      </c>
      <c r="L47" s="220">
        <f t="shared" si="10"/>
        <v>-780</v>
      </c>
    </row>
    <row r="48" spans="1:12" ht="14.1" customHeight="1" x14ac:dyDescent="0.2">
      <c r="B48" s="327" t="s">
        <v>1446</v>
      </c>
      <c r="C48" s="219">
        <v>0</v>
      </c>
      <c r="D48" s="219">
        <v>-61</v>
      </c>
      <c r="E48" s="219">
        <v>0</v>
      </c>
      <c r="F48" s="219">
        <v>0</v>
      </c>
      <c r="G48" s="219">
        <v>-1653</v>
      </c>
      <c r="H48" s="219">
        <v>0</v>
      </c>
      <c r="I48" s="219">
        <v>-14</v>
      </c>
      <c r="J48" s="219">
        <v>-8</v>
      </c>
      <c r="K48" s="219">
        <v>0</v>
      </c>
      <c r="L48" s="220">
        <f t="shared" si="10"/>
        <v>-1736</v>
      </c>
    </row>
    <row r="49" spans="2:12" ht="14.1" customHeight="1" thickBot="1" x14ac:dyDescent="0.25">
      <c r="B49" s="289" t="str">
        <f>"Valuation/gross cost at " &amp; TEXT(ComparativeYearEnd, "d mmmm yyyy")</f>
        <v>Valuation/gross cost at 31 March 2021</v>
      </c>
      <c r="C49" s="206">
        <f t="shared" ref="C49:L49" si="11">SUM(C39:C48)</f>
        <v>23670.999899999999</v>
      </c>
      <c r="D49" s="206">
        <f t="shared" si="11"/>
        <v>47217.80502</v>
      </c>
      <c r="E49" s="206">
        <f t="shared" si="11"/>
        <v>0</v>
      </c>
      <c r="F49" s="206">
        <f t="shared" si="11"/>
        <v>8913.36096</v>
      </c>
      <c r="G49" s="206">
        <f t="shared" si="11"/>
        <v>41518.724159999998</v>
      </c>
      <c r="H49" s="206">
        <f t="shared" si="11"/>
        <v>5.2107000000000001</v>
      </c>
      <c r="I49" s="206">
        <f t="shared" si="11"/>
        <v>13935.665000000001</v>
      </c>
      <c r="J49" s="206">
        <f t="shared" si="11"/>
        <v>2226.1000300000001</v>
      </c>
      <c r="K49" s="206">
        <f t="shared" si="11"/>
        <v>0</v>
      </c>
      <c r="L49" s="206">
        <f t="shared" si="11"/>
        <v>137487.86577</v>
      </c>
    </row>
    <row r="50" spans="2:12" ht="11.25" customHeight="1" thickTop="1" x14ac:dyDescent="0.2">
      <c r="B50" s="316"/>
      <c r="C50" s="199"/>
      <c r="D50" s="199"/>
      <c r="E50" s="199"/>
      <c r="F50" s="199"/>
      <c r="G50" s="199"/>
      <c r="H50" s="199"/>
      <c r="I50" s="199"/>
      <c r="J50" s="199"/>
      <c r="K50" s="199"/>
      <c r="L50" s="199"/>
    </row>
    <row r="51" spans="2:12" ht="24.75" customHeight="1" x14ac:dyDescent="0.2">
      <c r="B51" s="316" t="str">
        <f>"Accumulated depreciation at " &amp; TEXT(ComparativeYearStart, "d mmmm yyyy") &amp; " - as previously stated"</f>
        <v>Accumulated depreciation at 1 April 2020 - as previously stated</v>
      </c>
      <c r="C51" s="220">
        <v>0</v>
      </c>
      <c r="D51" s="220">
        <v>2660.1977400000001</v>
      </c>
      <c r="E51" s="220">
        <v>0</v>
      </c>
      <c r="F51" s="220">
        <v>0</v>
      </c>
      <c r="G51" s="220">
        <v>24163.066999999999</v>
      </c>
      <c r="H51" s="220">
        <v>5.2107000000000001</v>
      </c>
      <c r="I51" s="220">
        <v>10218.315479999999</v>
      </c>
      <c r="J51" s="220">
        <v>1692.5351599999999</v>
      </c>
      <c r="K51" s="220">
        <v>0</v>
      </c>
      <c r="L51" s="220">
        <f t="shared" ref="L51:L52" si="12">SUM(C51:K51)</f>
        <v>38739.326079999999</v>
      </c>
    </row>
    <row r="52" spans="2:12" ht="14.1" hidden="1" customHeight="1" x14ac:dyDescent="0.2">
      <c r="B52" s="327" t="s">
        <v>542</v>
      </c>
      <c r="C52" s="304">
        <v>0</v>
      </c>
      <c r="D52" s="304">
        <v>0</v>
      </c>
      <c r="E52" s="304">
        <v>0</v>
      </c>
      <c r="F52" s="304">
        <v>0</v>
      </c>
      <c r="G52" s="304">
        <v>0</v>
      </c>
      <c r="H52" s="304">
        <v>0</v>
      </c>
      <c r="I52" s="304">
        <v>0</v>
      </c>
      <c r="J52" s="304">
        <v>0</v>
      </c>
      <c r="K52" s="304">
        <v>0</v>
      </c>
      <c r="L52" s="220">
        <f t="shared" si="12"/>
        <v>0</v>
      </c>
    </row>
    <row r="53" spans="2:12" ht="26.45" hidden="1" customHeight="1" x14ac:dyDescent="0.2">
      <c r="B53" s="316" t="str">
        <f>"Accumulated depreciation at " &amp; TEXT(ComparativeYearStart, "d mmmm yyyy") &amp; " - restated"</f>
        <v>Accumulated depreciation at 1 April 2020 - restated</v>
      </c>
      <c r="C53" s="207">
        <f t="shared" ref="C53:K53" si="13">SUM(C51:C52)</f>
        <v>0</v>
      </c>
      <c r="D53" s="207">
        <f t="shared" si="13"/>
        <v>2660.1977400000001</v>
      </c>
      <c r="E53" s="207">
        <f t="shared" si="13"/>
        <v>0</v>
      </c>
      <c r="F53" s="207">
        <f t="shared" si="13"/>
        <v>0</v>
      </c>
      <c r="G53" s="207">
        <f t="shared" si="13"/>
        <v>24163.066999999999</v>
      </c>
      <c r="H53" s="207">
        <f t="shared" si="13"/>
        <v>5.2107000000000001</v>
      </c>
      <c r="I53" s="207">
        <f t="shared" si="13"/>
        <v>10218.315479999999</v>
      </c>
      <c r="J53" s="207">
        <f t="shared" si="13"/>
        <v>1692.5351599999999</v>
      </c>
      <c r="K53" s="207">
        <f t="shared" si="13"/>
        <v>0</v>
      </c>
      <c r="L53" s="207">
        <f t="shared" ref="L53" si="14">SUM(L51:L52)</f>
        <v>38739.326079999999</v>
      </c>
    </row>
    <row r="54" spans="2:12" ht="14.1" hidden="1" customHeight="1" x14ac:dyDescent="0.2">
      <c r="B54" s="316" t="s">
        <v>968</v>
      </c>
      <c r="C54" s="304">
        <v>0</v>
      </c>
      <c r="D54" s="304">
        <v>0</v>
      </c>
      <c r="E54" s="304">
        <v>0</v>
      </c>
      <c r="F54" s="304">
        <v>0</v>
      </c>
      <c r="G54" s="304">
        <v>0</v>
      </c>
      <c r="H54" s="304">
        <v>0</v>
      </c>
      <c r="I54" s="304">
        <v>0</v>
      </c>
      <c r="J54" s="304">
        <v>0</v>
      </c>
      <c r="K54" s="304">
        <v>0</v>
      </c>
      <c r="L54" s="220">
        <f t="shared" ref="L54:L62" si="15">SUM(C54:K54)</f>
        <v>0</v>
      </c>
    </row>
    <row r="55" spans="2:12" ht="14.1" hidden="1" customHeight="1" x14ac:dyDescent="0.2">
      <c r="B55" s="327" t="s">
        <v>955</v>
      </c>
      <c r="C55" s="304">
        <v>0</v>
      </c>
      <c r="D55" s="304">
        <v>0</v>
      </c>
      <c r="E55" s="304">
        <v>0</v>
      </c>
      <c r="F55" s="304">
        <v>0</v>
      </c>
      <c r="G55" s="304">
        <v>0</v>
      </c>
      <c r="H55" s="304">
        <v>0</v>
      </c>
      <c r="I55" s="304">
        <v>0</v>
      </c>
      <c r="J55" s="304">
        <v>0</v>
      </c>
      <c r="K55" s="304">
        <v>0</v>
      </c>
      <c r="L55" s="220">
        <f t="shared" si="15"/>
        <v>0</v>
      </c>
    </row>
    <row r="56" spans="2:12" ht="14.1" customHeight="1" x14ac:dyDescent="0.2">
      <c r="B56" s="327" t="s">
        <v>963</v>
      </c>
      <c r="C56" s="304">
        <v>0</v>
      </c>
      <c r="D56" s="304">
        <v>2913</v>
      </c>
      <c r="E56" s="304">
        <v>0</v>
      </c>
      <c r="F56" s="304">
        <v>0</v>
      </c>
      <c r="G56" s="304">
        <v>2713</v>
      </c>
      <c r="H56" s="304">
        <v>0</v>
      </c>
      <c r="I56" s="304">
        <v>1077</v>
      </c>
      <c r="J56" s="304">
        <v>96</v>
      </c>
      <c r="K56" s="304">
        <v>0</v>
      </c>
      <c r="L56" s="220">
        <f t="shared" si="15"/>
        <v>6799</v>
      </c>
    </row>
    <row r="57" spans="2:12" ht="14.1" customHeight="1" x14ac:dyDescent="0.2">
      <c r="B57" s="327" t="s">
        <v>597</v>
      </c>
      <c r="C57" s="219">
        <v>0</v>
      </c>
      <c r="D57" s="219">
        <v>-2603</v>
      </c>
      <c r="E57" s="219">
        <v>0</v>
      </c>
      <c r="F57" s="219">
        <v>0</v>
      </c>
      <c r="G57" s="219">
        <v>0</v>
      </c>
      <c r="H57" s="219">
        <v>0</v>
      </c>
      <c r="I57" s="219">
        <v>0</v>
      </c>
      <c r="J57" s="219">
        <v>0</v>
      </c>
      <c r="K57" s="219">
        <v>0</v>
      </c>
      <c r="L57" s="220">
        <f t="shared" si="15"/>
        <v>-2603</v>
      </c>
    </row>
    <row r="58" spans="2:12" ht="14.1" hidden="1" customHeight="1" x14ac:dyDescent="0.2">
      <c r="B58" s="327" t="s">
        <v>957</v>
      </c>
      <c r="C58" s="219">
        <v>0</v>
      </c>
      <c r="D58" s="219">
        <v>0</v>
      </c>
      <c r="E58" s="219">
        <v>0</v>
      </c>
      <c r="F58" s="219">
        <v>0</v>
      </c>
      <c r="G58" s="219">
        <v>0</v>
      </c>
      <c r="H58" s="219">
        <v>0</v>
      </c>
      <c r="I58" s="219">
        <v>0</v>
      </c>
      <c r="J58" s="219">
        <v>0</v>
      </c>
      <c r="K58" s="219">
        <v>0</v>
      </c>
      <c r="L58" s="220">
        <f t="shared" si="15"/>
        <v>0</v>
      </c>
    </row>
    <row r="59" spans="2:12" ht="14.1" hidden="1" customHeight="1" x14ac:dyDescent="0.2">
      <c r="B59" s="327" t="s">
        <v>958</v>
      </c>
      <c r="C59" s="219">
        <v>0</v>
      </c>
      <c r="D59" s="219">
        <v>0</v>
      </c>
      <c r="E59" s="219">
        <v>0</v>
      </c>
      <c r="F59" s="219">
        <v>0</v>
      </c>
      <c r="G59" s="219">
        <v>0</v>
      </c>
      <c r="H59" s="219">
        <v>0</v>
      </c>
      <c r="I59" s="219">
        <v>0</v>
      </c>
      <c r="J59" s="219">
        <v>0</v>
      </c>
      <c r="K59" s="219">
        <v>0</v>
      </c>
      <c r="L59" s="220">
        <f t="shared" si="15"/>
        <v>0</v>
      </c>
    </row>
    <row r="60" spans="2:12" ht="14.1" hidden="1" customHeight="1" x14ac:dyDescent="0.2">
      <c r="B60" s="327" t="s">
        <v>959</v>
      </c>
      <c r="C60" s="219">
        <v>0</v>
      </c>
      <c r="D60" s="219">
        <v>0</v>
      </c>
      <c r="E60" s="219">
        <v>0</v>
      </c>
      <c r="F60" s="219">
        <v>0</v>
      </c>
      <c r="G60" s="219">
        <v>0</v>
      </c>
      <c r="H60" s="219">
        <v>0</v>
      </c>
      <c r="I60" s="219">
        <v>0</v>
      </c>
      <c r="J60" s="219">
        <v>0</v>
      </c>
      <c r="K60" s="219">
        <v>0</v>
      </c>
      <c r="L60" s="220">
        <f t="shared" si="15"/>
        <v>0</v>
      </c>
    </row>
    <row r="61" spans="2:12" ht="13.7" customHeight="1" x14ac:dyDescent="0.2">
      <c r="B61" s="426" t="s">
        <v>1426</v>
      </c>
      <c r="C61" s="219">
        <v>0</v>
      </c>
      <c r="D61" s="219">
        <v>-194</v>
      </c>
      <c r="E61" s="219">
        <v>0</v>
      </c>
      <c r="F61" s="219">
        <v>0</v>
      </c>
      <c r="G61" s="219">
        <v>-322</v>
      </c>
      <c r="H61" s="219">
        <v>0</v>
      </c>
      <c r="I61" s="219">
        <v>-103</v>
      </c>
      <c r="J61" s="219">
        <v>-1</v>
      </c>
      <c r="K61" s="219">
        <v>0</v>
      </c>
      <c r="L61" s="220">
        <f t="shared" si="15"/>
        <v>-620</v>
      </c>
    </row>
    <row r="62" spans="2:12" ht="14.1" customHeight="1" x14ac:dyDescent="0.2">
      <c r="B62" s="327" t="s">
        <v>1446</v>
      </c>
      <c r="C62" s="219">
        <v>0</v>
      </c>
      <c r="D62" s="219">
        <v>-61</v>
      </c>
      <c r="E62" s="219">
        <v>0</v>
      </c>
      <c r="F62" s="219">
        <v>0</v>
      </c>
      <c r="G62" s="219">
        <v>-1645</v>
      </c>
      <c r="H62" s="219">
        <v>0</v>
      </c>
      <c r="I62" s="219">
        <v>-8</v>
      </c>
      <c r="J62" s="219">
        <v>-7</v>
      </c>
      <c r="K62" s="219">
        <v>0</v>
      </c>
      <c r="L62" s="220">
        <f t="shared" si="15"/>
        <v>-1721</v>
      </c>
    </row>
    <row r="63" spans="2:12" ht="25.15" customHeight="1" thickBot="1" x14ac:dyDescent="0.25">
      <c r="B63" s="326" t="str">
        <f>"Accumulated depreciation at " &amp; TEXT(ComparativeYearEnd, "d mmmm yyyy")</f>
        <v>Accumulated depreciation at 31 March 2021</v>
      </c>
      <c r="C63" s="206">
        <f t="shared" ref="C63:L63" si="16">SUM(C53:C62)</f>
        <v>0</v>
      </c>
      <c r="D63" s="206">
        <f t="shared" si="16"/>
        <v>2715.1977399999996</v>
      </c>
      <c r="E63" s="206">
        <f t="shared" si="16"/>
        <v>0</v>
      </c>
      <c r="F63" s="206">
        <f t="shared" si="16"/>
        <v>0</v>
      </c>
      <c r="G63" s="206">
        <f t="shared" si="16"/>
        <v>24909.066999999999</v>
      </c>
      <c r="H63" s="206">
        <f t="shared" si="16"/>
        <v>5.2107000000000001</v>
      </c>
      <c r="I63" s="206">
        <f t="shared" si="16"/>
        <v>11184.315479999999</v>
      </c>
      <c r="J63" s="206">
        <f t="shared" si="16"/>
        <v>1780.5351599999999</v>
      </c>
      <c r="K63" s="206">
        <f t="shared" si="16"/>
        <v>0</v>
      </c>
      <c r="L63" s="206">
        <f t="shared" si="16"/>
        <v>40594.326079999999</v>
      </c>
    </row>
    <row r="64" spans="2:12" ht="10.5" customHeight="1" thickTop="1" x14ac:dyDescent="0.2">
      <c r="B64" s="316"/>
      <c r="C64" s="313"/>
      <c r="D64" s="313"/>
      <c r="E64" s="313"/>
      <c r="F64" s="313"/>
      <c r="G64" s="313"/>
      <c r="H64" s="313"/>
      <c r="I64" s="313"/>
      <c r="J64" s="313"/>
      <c r="K64" s="313"/>
      <c r="L64" s="313"/>
    </row>
    <row r="65" spans="2:12" ht="14.1" customHeight="1" x14ac:dyDescent="0.2">
      <c r="B65" s="316" t="str">
        <f>"Net book value at "&amp; TEXT(ComparativeYearEnd, "d mmmm yyyy")</f>
        <v>Net book value at 31 March 2021</v>
      </c>
      <c r="C65" s="220">
        <f t="shared" ref="C65:K65" si="17">C49-C63</f>
        <v>23670.999899999999</v>
      </c>
      <c r="D65" s="220">
        <f t="shared" si="17"/>
        <v>44502.607279999997</v>
      </c>
      <c r="E65" s="220">
        <f t="shared" si="17"/>
        <v>0</v>
      </c>
      <c r="F65" s="220">
        <f t="shared" si="17"/>
        <v>8913.36096</v>
      </c>
      <c r="G65" s="220">
        <f t="shared" si="17"/>
        <v>16609.657159999999</v>
      </c>
      <c r="H65" s="220">
        <f t="shared" si="17"/>
        <v>0</v>
      </c>
      <c r="I65" s="220">
        <f t="shared" si="17"/>
        <v>2751.3495200000016</v>
      </c>
      <c r="J65" s="220">
        <f t="shared" si="17"/>
        <v>445.56487000000016</v>
      </c>
      <c r="K65" s="220">
        <f t="shared" si="17"/>
        <v>0</v>
      </c>
      <c r="L65" s="220">
        <f>SUM(C65:K65)</f>
        <v>96893.539690000005</v>
      </c>
    </row>
    <row r="66" spans="2:12" ht="14.1" customHeight="1" x14ac:dyDescent="0.2">
      <c r="B66" s="316" t="str">
        <f>"Net book value at "&amp; TEXT(ComparativeYearStart, "d mmmm yyyy")</f>
        <v>Net book value at 1 April 2020</v>
      </c>
      <c r="C66" s="220">
        <f t="shared" ref="C66:K66" si="18">C39-C53</f>
        <v>21287.999899999999</v>
      </c>
      <c r="D66" s="220">
        <f t="shared" si="18"/>
        <v>48878.607279999997</v>
      </c>
      <c r="E66" s="220">
        <f t="shared" si="18"/>
        <v>0</v>
      </c>
      <c r="F66" s="220">
        <f t="shared" si="18"/>
        <v>5212.36096</v>
      </c>
      <c r="G66" s="220">
        <f t="shared" si="18"/>
        <v>11699.657159999999</v>
      </c>
      <c r="H66" s="220">
        <f t="shared" si="18"/>
        <v>0</v>
      </c>
      <c r="I66" s="220">
        <f t="shared" si="18"/>
        <v>2613.3495200000016</v>
      </c>
      <c r="J66" s="220">
        <f t="shared" si="18"/>
        <v>334.56487000000016</v>
      </c>
      <c r="K66" s="220">
        <f t="shared" si="18"/>
        <v>0</v>
      </c>
      <c r="L66" s="220">
        <f t="shared" ref="L66" si="19">SUM(C66:K66)</f>
        <v>90026.539690000005</v>
      </c>
    </row>
    <row r="67" spans="2:12" ht="14.1" customHeight="1" x14ac:dyDescent="0.2">
      <c r="C67" s="171"/>
      <c r="D67" s="171"/>
      <c r="E67" s="171"/>
      <c r="F67" s="171"/>
      <c r="G67" s="171"/>
      <c r="H67" s="171"/>
      <c r="I67" s="171"/>
      <c r="J67" s="171"/>
      <c r="K67" s="171"/>
      <c r="L67" s="171"/>
    </row>
    <row r="68" spans="2:12" ht="14.1" customHeight="1" x14ac:dyDescent="0.2">
      <c r="C68" s="171"/>
      <c r="D68" s="171"/>
      <c r="E68" s="171"/>
      <c r="F68" s="171"/>
      <c r="G68" s="171"/>
      <c r="H68" s="171"/>
      <c r="I68" s="171"/>
      <c r="J68" s="171"/>
      <c r="K68" s="171"/>
      <c r="L68" s="171"/>
    </row>
    <row r="69" spans="2:12" ht="14.1" customHeight="1" x14ac:dyDescent="0.2">
      <c r="C69" s="171"/>
      <c r="D69" s="171"/>
      <c r="E69" s="171"/>
      <c r="F69" s="171"/>
      <c r="G69" s="171"/>
      <c r="H69" s="171"/>
      <c r="I69" s="171"/>
      <c r="J69" s="171"/>
      <c r="K69" s="171"/>
      <c r="L69" s="171"/>
    </row>
    <row r="70" spans="2:12" ht="14.1" customHeight="1" x14ac:dyDescent="0.2">
      <c r="C70" s="171"/>
      <c r="D70" s="171"/>
      <c r="E70" s="171"/>
      <c r="F70" s="171"/>
      <c r="G70" s="171"/>
      <c r="H70" s="171"/>
      <c r="I70" s="171"/>
      <c r="J70" s="171"/>
      <c r="K70" s="171"/>
      <c r="L70" s="171"/>
    </row>
  </sheetData>
  <pageMargins left="0.70866141732283472" right="0.70866141732283472" top="0.74803149606299213" bottom="0.74803149606299213" header="0.31496062992125984" footer="0.31496062992125984"/>
  <pageSetup paperSize="9" scale="66" orientation="portrait" verticalDpi="0" r:id="rId1"/>
  <headerFooter>
    <oddFooter>&amp;RPage &amp;P of &amp;N</oddFooter>
  </headerFooter>
  <rowBreaks count="1" manualBreakCount="1">
    <brk id="33" max="16383" man="1"/>
  </rowBreaks>
  <ignoredErrors>
    <ignoredError sqref="C5:L5 C36:L36"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1">
    <tabColor theme="8" tint="0.39997558519241921"/>
    <pageSetUpPr fitToPage="1"/>
  </sheetPr>
  <dimension ref="A1:L76"/>
  <sheetViews>
    <sheetView showGridLines="0" zoomScaleNormal="100" workbookViewId="0">
      <selection activeCell="D12" sqref="D12"/>
    </sheetView>
  </sheetViews>
  <sheetFormatPr defaultColWidth="9.140625" defaultRowHeight="14.1" customHeight="1" x14ac:dyDescent="0.2"/>
  <cols>
    <col min="1" max="1" width="0.42578125" style="176" customWidth="1"/>
    <col min="2" max="2" width="32" style="169" customWidth="1"/>
    <col min="3" max="3" width="8.85546875" style="169" customWidth="1"/>
    <col min="4" max="4" width="9.7109375" style="169" customWidth="1"/>
    <col min="5" max="5" width="9.140625" style="169" hidden="1" customWidth="1"/>
    <col min="6" max="6" width="10.42578125" style="169" customWidth="1"/>
    <col min="7" max="7" width="9.7109375" style="169" customWidth="1"/>
    <col min="8" max="8" width="9.7109375" style="169" hidden="1" customWidth="1"/>
    <col min="9" max="9" width="11" style="169" customWidth="1"/>
    <col min="10" max="10" width="9.7109375" style="169" customWidth="1"/>
    <col min="11" max="11" width="10" style="213" hidden="1" customWidth="1"/>
    <col min="12" max="12" width="9.42578125" style="169" customWidth="1"/>
    <col min="13" max="16384" width="9.140625" style="169"/>
  </cols>
  <sheetData>
    <row r="1" spans="1:12" s="313" customFormat="1" ht="14.1" customHeight="1" x14ac:dyDescent="0.2">
      <c r="A1" s="350" t="s">
        <v>1310</v>
      </c>
      <c r="B1" s="351"/>
      <c r="C1" s="351"/>
      <c r="D1" s="351"/>
      <c r="E1" s="351"/>
      <c r="F1" s="351"/>
      <c r="G1" s="351"/>
      <c r="H1" s="351"/>
      <c r="I1" s="351"/>
      <c r="J1" s="351"/>
      <c r="K1" s="351"/>
      <c r="L1" s="351"/>
    </row>
    <row r="2" spans="1:12" s="313" customFormat="1" ht="14.1" customHeight="1" x14ac:dyDescent="0.2">
      <c r="A2" s="205"/>
    </row>
    <row r="3" spans="1:12" ht="14.1" customHeight="1" x14ac:dyDescent="0.2">
      <c r="A3" s="205">
        <f>'PPE (group)'!A34+0.1</f>
        <v>16.300000000000004</v>
      </c>
      <c r="B3" s="289" t="str">
        <f>"Note "&amp;A3&amp; " Property, plant and equipment financing - " &amp; CurrentFY</f>
        <v>Note 16.3 Property, plant and equipment financing - 2021/22</v>
      </c>
      <c r="C3" s="313"/>
      <c r="D3" s="313"/>
      <c r="E3" s="313"/>
      <c r="F3" s="313"/>
      <c r="G3" s="313"/>
      <c r="H3" s="313"/>
      <c r="I3" s="313"/>
      <c r="J3" s="313"/>
      <c r="K3" s="313"/>
      <c r="L3" s="313"/>
    </row>
    <row r="4" spans="1:12" ht="48" x14ac:dyDescent="0.2">
      <c r="A4" s="205"/>
      <c r="B4" s="316" t="s">
        <v>500</v>
      </c>
      <c r="C4" s="290" t="s">
        <v>687</v>
      </c>
      <c r="D4" s="290" t="s">
        <v>964</v>
      </c>
      <c r="E4" s="290" t="s">
        <v>689</v>
      </c>
      <c r="F4" s="290" t="s">
        <v>965</v>
      </c>
      <c r="G4" s="290" t="s">
        <v>690</v>
      </c>
      <c r="H4" s="290" t="s">
        <v>691</v>
      </c>
      <c r="I4" s="290" t="s">
        <v>692</v>
      </c>
      <c r="J4" s="290" t="s">
        <v>693</v>
      </c>
      <c r="K4" s="290" t="s">
        <v>966</v>
      </c>
      <c r="L4" s="290" t="s">
        <v>953</v>
      </c>
    </row>
    <row r="5" spans="1:12" ht="14.1" customHeight="1" x14ac:dyDescent="0.2">
      <c r="A5" s="205"/>
      <c r="B5" s="316"/>
      <c r="C5" s="290" t="s">
        <v>590</v>
      </c>
      <c r="D5" s="290" t="s">
        <v>590</v>
      </c>
      <c r="E5" s="290" t="s">
        <v>590</v>
      </c>
      <c r="F5" s="290" t="s">
        <v>590</v>
      </c>
      <c r="G5" s="290" t="s">
        <v>590</v>
      </c>
      <c r="H5" s="290" t="s">
        <v>590</v>
      </c>
      <c r="I5" s="290" t="s">
        <v>590</v>
      </c>
      <c r="J5" s="290" t="s">
        <v>590</v>
      </c>
      <c r="K5" s="290" t="s">
        <v>502</v>
      </c>
      <c r="L5" s="290" t="s">
        <v>590</v>
      </c>
    </row>
    <row r="6" spans="1:12" ht="14.1" customHeight="1" x14ac:dyDescent="0.2">
      <c r="A6" s="205"/>
      <c r="B6" s="316" t="str">
        <f>"Net book value at " &amp; TEXT(CurrentYearEnd, "d mmmm yyyy")</f>
        <v>Net book value at 31 March 2022</v>
      </c>
      <c r="C6" s="174"/>
      <c r="D6" s="174"/>
      <c r="E6" s="174"/>
      <c r="F6" s="174"/>
      <c r="G6" s="174"/>
      <c r="H6" s="174"/>
      <c r="I6" s="174"/>
      <c r="J6" s="174"/>
      <c r="K6" s="174"/>
      <c r="L6" s="174"/>
    </row>
    <row r="7" spans="1:12" ht="14.1" customHeight="1" x14ac:dyDescent="0.2">
      <c r="A7" s="205"/>
      <c r="B7" s="327" t="s">
        <v>970</v>
      </c>
      <c r="C7" s="219">
        <v>26036.999899999999</v>
      </c>
      <c r="D7" s="219">
        <v>36513.607279999997</v>
      </c>
      <c r="E7" s="219">
        <v>0</v>
      </c>
      <c r="F7" s="219">
        <v>12809.36096</v>
      </c>
      <c r="G7" s="219">
        <v>18012.657159999999</v>
      </c>
      <c r="H7" s="219">
        <v>0</v>
      </c>
      <c r="I7" s="219">
        <v>2176.3495200000016</v>
      </c>
      <c r="J7" s="219">
        <v>378.56487000000016</v>
      </c>
      <c r="K7" s="219">
        <v>0</v>
      </c>
      <c r="L7" s="220">
        <f>SUM(C7:K7)</f>
        <v>95927.539690000005</v>
      </c>
    </row>
    <row r="8" spans="1:12" ht="14.1" hidden="1" customHeight="1" x14ac:dyDescent="0.2">
      <c r="A8" s="205"/>
      <c r="B8" s="327" t="s">
        <v>971</v>
      </c>
      <c r="C8" s="219">
        <v>0</v>
      </c>
      <c r="D8" s="219">
        <v>0</v>
      </c>
      <c r="E8" s="219">
        <v>0</v>
      </c>
      <c r="F8" s="219">
        <v>0</v>
      </c>
      <c r="G8" s="219">
        <v>0</v>
      </c>
      <c r="H8" s="219">
        <v>0</v>
      </c>
      <c r="I8" s="219">
        <v>0</v>
      </c>
      <c r="J8" s="219">
        <v>0</v>
      </c>
      <c r="K8" s="219">
        <v>0</v>
      </c>
      <c r="L8" s="220">
        <f>SUM(C8:K8)</f>
        <v>0</v>
      </c>
    </row>
    <row r="9" spans="1:12" ht="24.75" hidden="1" customHeight="1" x14ac:dyDescent="0.2">
      <c r="A9" s="205"/>
      <c r="B9" s="327" t="s">
        <v>972</v>
      </c>
      <c r="C9" s="219">
        <v>0</v>
      </c>
      <c r="D9" s="219">
        <v>0</v>
      </c>
      <c r="E9" s="219">
        <v>0</v>
      </c>
      <c r="F9" s="219">
        <v>0</v>
      </c>
      <c r="G9" s="219">
        <v>0</v>
      </c>
      <c r="H9" s="219">
        <v>0</v>
      </c>
      <c r="I9" s="219">
        <v>0</v>
      </c>
      <c r="J9" s="219">
        <v>0</v>
      </c>
      <c r="K9" s="219">
        <v>0</v>
      </c>
      <c r="L9" s="220">
        <f t="shared" ref="L9:L12" si="0">SUM(C9:K9)</f>
        <v>0</v>
      </c>
    </row>
    <row r="10" spans="1:12" ht="14.1" hidden="1" customHeight="1" x14ac:dyDescent="0.2">
      <c r="A10" s="205"/>
      <c r="B10" s="327" t="s">
        <v>973</v>
      </c>
      <c r="C10" s="219">
        <v>0</v>
      </c>
      <c r="D10" s="219">
        <v>0</v>
      </c>
      <c r="E10" s="219">
        <v>0</v>
      </c>
      <c r="F10" s="219">
        <v>0</v>
      </c>
      <c r="G10" s="219">
        <v>0</v>
      </c>
      <c r="H10" s="219">
        <v>0</v>
      </c>
      <c r="I10" s="219">
        <v>0</v>
      </c>
      <c r="J10" s="219">
        <v>0</v>
      </c>
      <c r="K10" s="219">
        <v>0</v>
      </c>
      <c r="L10" s="220">
        <f t="shared" si="0"/>
        <v>0</v>
      </c>
    </row>
    <row r="11" spans="1:12" ht="14.1" customHeight="1" x14ac:dyDescent="0.2">
      <c r="A11" s="205"/>
      <c r="B11" s="327" t="s">
        <v>974</v>
      </c>
      <c r="C11" s="219">
        <v>0</v>
      </c>
      <c r="D11" s="219">
        <v>9235</v>
      </c>
      <c r="E11" s="219">
        <v>0</v>
      </c>
      <c r="F11" s="219">
        <v>0</v>
      </c>
      <c r="G11" s="219">
        <v>853</v>
      </c>
      <c r="H11" s="219">
        <v>0</v>
      </c>
      <c r="I11" s="219">
        <v>2</v>
      </c>
      <c r="J11" s="219">
        <v>16</v>
      </c>
      <c r="K11" s="219">
        <v>0</v>
      </c>
      <c r="L11" s="220">
        <f t="shared" si="0"/>
        <v>10106</v>
      </c>
    </row>
    <row r="12" spans="1:12" ht="14.1" customHeight="1" thickBot="1" x14ac:dyDescent="0.25">
      <c r="A12" s="205"/>
      <c r="B12" s="289" t="str">
        <f>"NBV total at " &amp; TEXT(CurrentYearEnd, "d mmmm yyyy")</f>
        <v>NBV total at 31 March 2022</v>
      </c>
      <c r="C12" s="206">
        <f t="shared" ref="C12:K12" si="1">SUM(C7:C11)</f>
        <v>26036.999899999999</v>
      </c>
      <c r="D12" s="206">
        <f t="shared" si="1"/>
        <v>45748.607279999997</v>
      </c>
      <c r="E12" s="206">
        <f t="shared" si="1"/>
        <v>0</v>
      </c>
      <c r="F12" s="206">
        <f t="shared" si="1"/>
        <v>12809.36096</v>
      </c>
      <c r="G12" s="206">
        <f t="shared" si="1"/>
        <v>18865.657159999999</v>
      </c>
      <c r="H12" s="206">
        <f t="shared" si="1"/>
        <v>0</v>
      </c>
      <c r="I12" s="206">
        <f t="shared" si="1"/>
        <v>2178.3495200000016</v>
      </c>
      <c r="J12" s="206">
        <f t="shared" si="1"/>
        <v>394.56487000000016</v>
      </c>
      <c r="K12" s="206">
        <f t="shared" si="1"/>
        <v>0</v>
      </c>
      <c r="L12" s="206">
        <f t="shared" si="0"/>
        <v>106033.53969000001</v>
      </c>
    </row>
    <row r="13" spans="1:12" ht="14.1" customHeight="1" thickTop="1" x14ac:dyDescent="0.2">
      <c r="A13" s="205"/>
      <c r="B13" s="316"/>
      <c r="C13" s="203"/>
      <c r="D13" s="203"/>
      <c r="E13" s="203"/>
      <c r="F13" s="203"/>
      <c r="G13" s="203"/>
      <c r="H13" s="203"/>
      <c r="I13" s="203"/>
      <c r="J13" s="203"/>
      <c r="K13" s="203"/>
      <c r="L13" s="203"/>
    </row>
    <row r="14" spans="1:12" ht="14.1" customHeight="1" x14ac:dyDescent="0.2">
      <c r="A14" s="205"/>
      <c r="B14" s="316"/>
      <c r="C14" s="313"/>
      <c r="D14" s="313"/>
      <c r="E14" s="313"/>
      <c r="F14" s="313"/>
      <c r="G14" s="313"/>
      <c r="H14" s="313"/>
      <c r="I14" s="313"/>
      <c r="J14" s="313"/>
      <c r="K14" s="313"/>
      <c r="L14" s="313"/>
    </row>
    <row r="15" spans="1:12" ht="14.1" customHeight="1" x14ac:dyDescent="0.2">
      <c r="A15" s="205">
        <f>A3+0.1</f>
        <v>16.400000000000006</v>
      </c>
      <c r="B15" s="289" t="str">
        <f>"Note "&amp;A15&amp; " Property, plant and equipment financing - " &amp; ComparativeFY</f>
        <v>Note 16.4 Property, plant and equipment financing - 2020/21</v>
      </c>
      <c r="C15" s="313"/>
      <c r="D15" s="313"/>
      <c r="E15" s="313"/>
      <c r="F15" s="313"/>
      <c r="G15" s="313"/>
      <c r="H15" s="313"/>
      <c r="I15" s="313"/>
      <c r="J15" s="313"/>
      <c r="K15" s="313"/>
      <c r="L15" s="313"/>
    </row>
    <row r="16" spans="1:12" ht="48" x14ac:dyDescent="0.2">
      <c r="A16" s="205"/>
      <c r="B16" s="316" t="s">
        <v>500</v>
      </c>
      <c r="C16" s="290" t="s">
        <v>687</v>
      </c>
      <c r="D16" s="290" t="s">
        <v>964</v>
      </c>
      <c r="E16" s="290" t="s">
        <v>689</v>
      </c>
      <c r="F16" s="290" t="s">
        <v>965</v>
      </c>
      <c r="G16" s="290" t="s">
        <v>690</v>
      </c>
      <c r="H16" s="290" t="s">
        <v>691</v>
      </c>
      <c r="I16" s="290" t="s">
        <v>692</v>
      </c>
      <c r="J16" s="290" t="s">
        <v>693</v>
      </c>
      <c r="K16" s="290" t="s">
        <v>966</v>
      </c>
      <c r="L16" s="290" t="s">
        <v>953</v>
      </c>
    </row>
    <row r="17" spans="1:12" ht="14.1" customHeight="1" x14ac:dyDescent="0.2">
      <c r="A17" s="205"/>
      <c r="B17" s="316"/>
      <c r="C17" s="290" t="s">
        <v>590</v>
      </c>
      <c r="D17" s="290" t="s">
        <v>590</v>
      </c>
      <c r="E17" s="290" t="s">
        <v>590</v>
      </c>
      <c r="F17" s="290" t="s">
        <v>590</v>
      </c>
      <c r="G17" s="290" t="s">
        <v>590</v>
      </c>
      <c r="H17" s="290" t="s">
        <v>590</v>
      </c>
      <c r="I17" s="290" t="s">
        <v>590</v>
      </c>
      <c r="J17" s="290" t="s">
        <v>590</v>
      </c>
      <c r="K17" s="290" t="s">
        <v>502</v>
      </c>
      <c r="L17" s="290" t="s">
        <v>590</v>
      </c>
    </row>
    <row r="18" spans="1:12" ht="14.1" customHeight="1" x14ac:dyDescent="0.2">
      <c r="A18" s="313"/>
      <c r="B18" s="316" t="str">
        <f>"Net book value at " &amp;TEXT(ComparativeYearEnd, "d mmmm yyyy")</f>
        <v>Net book value at 31 March 2021</v>
      </c>
      <c r="C18" s="174"/>
      <c r="D18" s="174"/>
      <c r="E18" s="174"/>
      <c r="F18" s="174"/>
      <c r="G18" s="174"/>
      <c r="H18" s="174"/>
      <c r="I18" s="174"/>
      <c r="J18" s="174"/>
      <c r="K18" s="174"/>
      <c r="L18" s="175"/>
    </row>
    <row r="19" spans="1:12" ht="14.1" customHeight="1" x14ac:dyDescent="0.2">
      <c r="A19" s="313"/>
      <c r="B19" s="327" t="s">
        <v>970</v>
      </c>
      <c r="C19" s="219">
        <v>23670.999899999999</v>
      </c>
      <c r="D19" s="219">
        <v>35385.607279999997</v>
      </c>
      <c r="E19" s="219">
        <v>0</v>
      </c>
      <c r="F19" s="219">
        <v>8913.36096</v>
      </c>
      <c r="G19" s="219">
        <v>15671.657159999999</v>
      </c>
      <c r="H19" s="219">
        <v>0</v>
      </c>
      <c r="I19" s="219">
        <v>2739.3495200000016</v>
      </c>
      <c r="J19" s="219">
        <v>424.56487000000016</v>
      </c>
      <c r="K19" s="219">
        <v>0</v>
      </c>
      <c r="L19" s="220">
        <f t="shared" ref="L19:L24" si="2">SUM(C19:K19)</f>
        <v>86805.539690000005</v>
      </c>
    </row>
    <row r="20" spans="1:12" ht="14.1" hidden="1" customHeight="1" x14ac:dyDescent="0.2">
      <c r="A20" s="313"/>
      <c r="B20" s="327" t="s">
        <v>971</v>
      </c>
      <c r="C20" s="219">
        <v>0</v>
      </c>
      <c r="D20" s="219">
        <v>0</v>
      </c>
      <c r="E20" s="219">
        <v>0</v>
      </c>
      <c r="F20" s="219">
        <v>0</v>
      </c>
      <c r="G20" s="219">
        <v>0</v>
      </c>
      <c r="H20" s="219">
        <v>0</v>
      </c>
      <c r="I20" s="219">
        <v>0</v>
      </c>
      <c r="J20" s="219">
        <v>0</v>
      </c>
      <c r="K20" s="219">
        <v>0</v>
      </c>
      <c r="L20" s="220">
        <f t="shared" si="2"/>
        <v>0</v>
      </c>
    </row>
    <row r="21" spans="1:12" ht="26.45" hidden="1" customHeight="1" x14ac:dyDescent="0.2">
      <c r="A21" s="313"/>
      <c r="B21" s="327" t="s">
        <v>972</v>
      </c>
      <c r="C21" s="219">
        <v>0</v>
      </c>
      <c r="D21" s="219">
        <v>0</v>
      </c>
      <c r="E21" s="219">
        <v>0</v>
      </c>
      <c r="F21" s="219">
        <v>0</v>
      </c>
      <c r="G21" s="219">
        <v>0</v>
      </c>
      <c r="H21" s="219">
        <v>0</v>
      </c>
      <c r="I21" s="219">
        <v>0</v>
      </c>
      <c r="J21" s="219">
        <v>0</v>
      </c>
      <c r="K21" s="219">
        <v>0</v>
      </c>
      <c r="L21" s="220">
        <f t="shared" si="2"/>
        <v>0</v>
      </c>
    </row>
    <row r="22" spans="1:12" ht="14.1" hidden="1" customHeight="1" x14ac:dyDescent="0.2">
      <c r="A22" s="313"/>
      <c r="B22" s="327" t="s">
        <v>973</v>
      </c>
      <c r="C22" s="219">
        <v>0</v>
      </c>
      <c r="D22" s="219">
        <v>0</v>
      </c>
      <c r="E22" s="219">
        <v>0</v>
      </c>
      <c r="F22" s="219">
        <v>0</v>
      </c>
      <c r="G22" s="219">
        <v>0</v>
      </c>
      <c r="H22" s="219">
        <v>0</v>
      </c>
      <c r="I22" s="219">
        <v>0</v>
      </c>
      <c r="J22" s="219">
        <v>0</v>
      </c>
      <c r="K22" s="219">
        <v>0</v>
      </c>
      <c r="L22" s="220">
        <f t="shared" si="2"/>
        <v>0</v>
      </c>
    </row>
    <row r="23" spans="1:12" ht="14.1" customHeight="1" x14ac:dyDescent="0.2">
      <c r="A23" s="313"/>
      <c r="B23" s="327" t="s">
        <v>974</v>
      </c>
      <c r="C23" s="219">
        <v>0</v>
      </c>
      <c r="D23" s="219">
        <v>9117</v>
      </c>
      <c r="E23" s="219">
        <v>0</v>
      </c>
      <c r="F23" s="219">
        <v>0</v>
      </c>
      <c r="G23" s="219">
        <v>938</v>
      </c>
      <c r="H23" s="219">
        <v>0</v>
      </c>
      <c r="I23" s="219">
        <v>12</v>
      </c>
      <c r="J23" s="219">
        <v>21</v>
      </c>
      <c r="K23" s="219">
        <v>0</v>
      </c>
      <c r="L23" s="220">
        <f t="shared" si="2"/>
        <v>10088</v>
      </c>
    </row>
    <row r="24" spans="1:12" ht="14.1" customHeight="1" thickBot="1" x14ac:dyDescent="0.25">
      <c r="A24" s="313"/>
      <c r="B24" s="289" t="str">
        <f>"NBV total at " &amp;TEXT(ComparativeYearEnd, "d mmmm yyyy")</f>
        <v>NBV total at 31 March 2021</v>
      </c>
      <c r="C24" s="206">
        <f t="shared" ref="C24:K24" si="3">SUM(C19:C23)</f>
        <v>23670.999899999999</v>
      </c>
      <c r="D24" s="206">
        <f t="shared" si="3"/>
        <v>44502.607279999997</v>
      </c>
      <c r="E24" s="206">
        <f t="shared" si="3"/>
        <v>0</v>
      </c>
      <c r="F24" s="206">
        <f t="shared" si="3"/>
        <v>8913.36096</v>
      </c>
      <c r="G24" s="206">
        <f t="shared" si="3"/>
        <v>16609.657159999999</v>
      </c>
      <c r="H24" s="206">
        <f t="shared" si="3"/>
        <v>0</v>
      </c>
      <c r="I24" s="206">
        <f t="shared" si="3"/>
        <v>2751.3495200000016</v>
      </c>
      <c r="J24" s="206">
        <f t="shared" si="3"/>
        <v>445.56487000000016</v>
      </c>
      <c r="K24" s="206">
        <f t="shared" si="3"/>
        <v>0</v>
      </c>
      <c r="L24" s="206">
        <f t="shared" si="2"/>
        <v>96893.539690000005</v>
      </c>
    </row>
    <row r="25" spans="1:12" ht="14.1" customHeight="1" thickTop="1" x14ac:dyDescent="0.2">
      <c r="A25" s="313"/>
      <c r="B25" s="313"/>
      <c r="C25" s="203"/>
      <c r="D25" s="203"/>
      <c r="E25" s="203"/>
      <c r="F25" s="203"/>
      <c r="G25" s="203"/>
      <c r="H25" s="203"/>
      <c r="I25" s="203"/>
      <c r="J25" s="203"/>
      <c r="K25" s="203"/>
      <c r="L25" s="203"/>
    </row>
    <row r="26" spans="1:12" ht="14.1" customHeight="1" x14ac:dyDescent="0.2">
      <c r="A26" s="313"/>
      <c r="B26" s="313"/>
      <c r="C26" s="203"/>
      <c r="D26" s="203"/>
      <c r="E26" s="203"/>
      <c r="F26" s="203"/>
      <c r="G26" s="203"/>
      <c r="H26" s="203"/>
      <c r="I26" s="203"/>
      <c r="J26" s="203"/>
      <c r="K26" s="203"/>
      <c r="L26" s="203"/>
    </row>
    <row r="27" spans="1:12" ht="14.1" customHeight="1" x14ac:dyDescent="0.2">
      <c r="A27" s="313"/>
      <c r="B27" s="313"/>
      <c r="C27" s="313"/>
      <c r="D27" s="313"/>
      <c r="E27" s="313"/>
      <c r="F27" s="313"/>
      <c r="G27" s="313"/>
      <c r="H27" s="313"/>
      <c r="I27" s="313"/>
      <c r="J27" s="313"/>
      <c r="K27" s="313"/>
      <c r="L27" s="313"/>
    </row>
    <row r="28" spans="1:12" ht="14.1" customHeight="1" x14ac:dyDescent="0.2">
      <c r="A28" s="313"/>
      <c r="B28" s="313"/>
      <c r="C28" s="313"/>
      <c r="D28" s="313"/>
      <c r="E28" s="313"/>
      <c r="F28" s="313"/>
      <c r="G28" s="313"/>
      <c r="H28" s="313"/>
      <c r="I28" s="313"/>
      <c r="J28" s="313"/>
      <c r="K28" s="313"/>
      <c r="L28" s="313"/>
    </row>
    <row r="29" spans="1:12" ht="14.1" customHeight="1" x14ac:dyDescent="0.2">
      <c r="A29" s="313"/>
      <c r="B29" s="313"/>
      <c r="C29" s="313"/>
      <c r="D29" s="313"/>
      <c r="E29" s="313"/>
      <c r="F29" s="313"/>
      <c r="G29" s="313"/>
      <c r="H29" s="313"/>
      <c r="I29" s="313"/>
      <c r="J29" s="313"/>
      <c r="K29" s="313"/>
      <c r="L29" s="313"/>
    </row>
    <row r="30" spans="1:12" ht="14.1" customHeight="1" x14ac:dyDescent="0.2">
      <c r="A30" s="313"/>
      <c r="B30" s="313"/>
      <c r="C30" s="313"/>
      <c r="D30" s="313"/>
      <c r="E30" s="313"/>
      <c r="F30" s="313"/>
      <c r="G30" s="313"/>
      <c r="H30" s="313"/>
      <c r="I30" s="313"/>
      <c r="J30" s="313"/>
      <c r="K30" s="313"/>
      <c r="L30" s="313"/>
    </row>
    <row r="31" spans="1:12" ht="14.1" customHeight="1" x14ac:dyDescent="0.2">
      <c r="A31" s="313"/>
      <c r="B31" s="313"/>
      <c r="C31" s="313"/>
      <c r="D31" s="313"/>
      <c r="E31" s="313"/>
      <c r="F31" s="313"/>
      <c r="G31" s="313"/>
      <c r="H31" s="313"/>
      <c r="I31" s="313"/>
      <c r="J31" s="313"/>
      <c r="K31" s="313"/>
      <c r="L31" s="313"/>
    </row>
    <row r="32" spans="1:12" ht="14.1" customHeight="1" x14ac:dyDescent="0.2">
      <c r="A32" s="313"/>
      <c r="B32" s="313"/>
      <c r="C32" s="313"/>
      <c r="D32" s="313"/>
      <c r="E32" s="313"/>
      <c r="F32" s="313"/>
      <c r="G32" s="313"/>
      <c r="H32" s="313"/>
      <c r="I32" s="313"/>
      <c r="J32" s="313"/>
      <c r="K32" s="313"/>
      <c r="L32" s="313"/>
    </row>
    <row r="33" spans="1:12" ht="14.1" customHeight="1" x14ac:dyDescent="0.2">
      <c r="A33" s="313"/>
      <c r="B33" s="313"/>
      <c r="C33" s="313"/>
      <c r="D33" s="313"/>
      <c r="E33" s="313"/>
      <c r="F33" s="313"/>
      <c r="G33" s="313"/>
      <c r="H33" s="313"/>
      <c r="I33" s="313"/>
      <c r="J33" s="313"/>
      <c r="K33" s="313"/>
      <c r="L33" s="313"/>
    </row>
    <row r="34" spans="1:12" ht="14.1" customHeight="1" x14ac:dyDescent="0.2">
      <c r="A34" s="313"/>
      <c r="B34" s="313"/>
      <c r="C34" s="313"/>
      <c r="D34" s="313"/>
      <c r="E34" s="313"/>
      <c r="F34" s="313"/>
      <c r="G34" s="313"/>
      <c r="H34" s="313"/>
      <c r="I34" s="313"/>
      <c r="J34" s="313"/>
      <c r="K34" s="313"/>
      <c r="L34" s="313"/>
    </row>
    <row r="35" spans="1:12" ht="14.1" customHeight="1" x14ac:dyDescent="0.2">
      <c r="A35" s="313"/>
      <c r="B35" s="313"/>
      <c r="C35" s="313"/>
      <c r="D35" s="313"/>
      <c r="E35" s="313"/>
      <c r="F35" s="313"/>
      <c r="G35" s="313"/>
      <c r="H35" s="313"/>
      <c r="I35" s="313"/>
      <c r="J35" s="313"/>
      <c r="K35" s="313"/>
    </row>
    <row r="36" spans="1:12" ht="14.1" customHeight="1" x14ac:dyDescent="0.2">
      <c r="A36" s="313"/>
      <c r="B36" s="313"/>
      <c r="C36" s="313"/>
      <c r="D36" s="313"/>
      <c r="E36" s="313"/>
      <c r="F36" s="313"/>
      <c r="G36" s="313"/>
      <c r="H36" s="313"/>
      <c r="I36" s="313"/>
      <c r="J36" s="313"/>
      <c r="K36" s="313"/>
    </row>
    <row r="37" spans="1:12" ht="14.1" customHeight="1" x14ac:dyDescent="0.2">
      <c r="A37" s="313"/>
      <c r="B37" s="313"/>
      <c r="C37" s="313"/>
      <c r="D37" s="313"/>
      <c r="E37" s="313"/>
      <c r="F37" s="313"/>
      <c r="G37" s="313"/>
      <c r="H37" s="313"/>
      <c r="I37" s="313"/>
      <c r="J37" s="313"/>
      <c r="K37" s="313"/>
    </row>
    <row r="38" spans="1:12" ht="14.1" customHeight="1" x14ac:dyDescent="0.2">
      <c r="A38" s="313"/>
      <c r="B38" s="313"/>
      <c r="C38" s="313"/>
      <c r="D38" s="313"/>
      <c r="E38" s="313"/>
      <c r="F38" s="313"/>
      <c r="G38" s="313"/>
      <c r="H38" s="313"/>
      <c r="I38" s="313"/>
      <c r="J38" s="313"/>
      <c r="K38" s="313"/>
    </row>
    <row r="39" spans="1:12" ht="14.1" customHeight="1" x14ac:dyDescent="0.2">
      <c r="A39" s="313"/>
      <c r="B39" s="313"/>
      <c r="C39" s="313"/>
      <c r="D39" s="313"/>
      <c r="E39" s="313"/>
      <c r="F39" s="313"/>
      <c r="G39" s="313"/>
      <c r="H39" s="313"/>
      <c r="I39" s="313"/>
      <c r="J39" s="313"/>
      <c r="K39" s="313"/>
    </row>
    <row r="40" spans="1:12" ht="14.1" customHeight="1" x14ac:dyDescent="0.2">
      <c r="A40" s="313"/>
      <c r="B40" s="313"/>
      <c r="C40" s="313"/>
      <c r="D40" s="313"/>
      <c r="E40" s="313"/>
      <c r="F40" s="313"/>
      <c r="G40" s="313"/>
      <c r="H40" s="313"/>
      <c r="I40" s="313"/>
      <c r="J40" s="313"/>
      <c r="K40" s="313"/>
    </row>
    <row r="41" spans="1:12" ht="14.1" customHeight="1" x14ac:dyDescent="0.2">
      <c r="A41" s="313"/>
      <c r="B41" s="313"/>
      <c r="C41" s="313"/>
      <c r="D41" s="313"/>
      <c r="E41" s="313"/>
      <c r="F41" s="313"/>
      <c r="G41" s="313"/>
      <c r="H41" s="313"/>
      <c r="I41" s="313"/>
      <c r="J41" s="313"/>
      <c r="K41" s="313"/>
    </row>
    <row r="42" spans="1:12" ht="14.1" customHeight="1" x14ac:dyDescent="0.2">
      <c r="A42" s="313"/>
      <c r="B42" s="313"/>
      <c r="C42" s="313"/>
      <c r="D42" s="313"/>
      <c r="E42" s="313"/>
      <c r="F42" s="313"/>
      <c r="G42" s="313"/>
      <c r="H42" s="313"/>
      <c r="I42" s="313"/>
      <c r="J42" s="313"/>
      <c r="K42" s="313"/>
    </row>
    <row r="43" spans="1:12" ht="14.1" customHeight="1" x14ac:dyDescent="0.2">
      <c r="A43" s="313"/>
      <c r="B43" s="313"/>
      <c r="C43" s="313"/>
      <c r="D43" s="313"/>
      <c r="E43" s="313"/>
      <c r="F43" s="313"/>
      <c r="G43" s="313"/>
      <c r="H43" s="313"/>
      <c r="I43" s="313"/>
      <c r="J43" s="313"/>
      <c r="K43" s="313"/>
    </row>
    <row r="44" spans="1:12" ht="14.1" customHeight="1" x14ac:dyDescent="0.2">
      <c r="A44" s="313"/>
      <c r="B44" s="313"/>
      <c r="C44" s="313"/>
      <c r="D44" s="313"/>
      <c r="E44" s="313"/>
      <c r="F44" s="313"/>
      <c r="G44" s="313"/>
      <c r="H44" s="313"/>
      <c r="I44" s="313"/>
      <c r="J44" s="313"/>
      <c r="K44" s="313"/>
    </row>
    <row r="45" spans="1:12" ht="14.1" customHeight="1" x14ac:dyDescent="0.2">
      <c r="A45" s="313"/>
      <c r="B45" s="313"/>
      <c r="C45" s="313"/>
      <c r="D45" s="313"/>
      <c r="E45" s="313"/>
      <c r="F45" s="313"/>
      <c r="G45" s="313"/>
      <c r="H45" s="313"/>
      <c r="I45" s="313"/>
      <c r="J45" s="313"/>
      <c r="K45" s="313"/>
    </row>
    <row r="46" spans="1:12" ht="14.1" customHeight="1" x14ac:dyDescent="0.2">
      <c r="A46" s="313"/>
      <c r="B46" s="313"/>
      <c r="C46" s="313"/>
      <c r="D46" s="313"/>
      <c r="E46" s="313"/>
      <c r="F46" s="313"/>
      <c r="G46" s="313"/>
      <c r="H46" s="313"/>
      <c r="I46" s="313"/>
      <c r="J46" s="313"/>
      <c r="K46" s="313"/>
    </row>
    <row r="47" spans="1:12" ht="14.1" customHeight="1" x14ac:dyDescent="0.2">
      <c r="A47" s="313"/>
      <c r="B47" s="313"/>
      <c r="C47" s="313"/>
      <c r="D47" s="313"/>
      <c r="E47" s="313"/>
      <c r="F47" s="313"/>
      <c r="G47" s="313"/>
      <c r="H47" s="313"/>
      <c r="I47" s="313"/>
      <c r="J47" s="313"/>
      <c r="K47" s="313"/>
    </row>
    <row r="48" spans="1:12" ht="14.1" customHeight="1" x14ac:dyDescent="0.2">
      <c r="A48" s="313"/>
      <c r="B48" s="313"/>
      <c r="C48" s="313"/>
      <c r="D48" s="313"/>
      <c r="E48" s="313"/>
      <c r="F48" s="313"/>
      <c r="G48" s="313"/>
      <c r="H48" s="313"/>
      <c r="I48" s="313"/>
      <c r="J48" s="313"/>
      <c r="K48" s="313"/>
    </row>
    <row r="49" spans="1:11" ht="14.1" customHeight="1" x14ac:dyDescent="0.2">
      <c r="A49" s="313"/>
      <c r="B49" s="313"/>
      <c r="C49" s="313"/>
      <c r="D49" s="313"/>
      <c r="E49" s="313"/>
      <c r="F49" s="313"/>
      <c r="G49" s="313"/>
      <c r="H49" s="313"/>
      <c r="I49" s="313"/>
      <c r="J49" s="313"/>
      <c r="K49" s="313"/>
    </row>
    <row r="50" spans="1:11" ht="14.1" customHeight="1" x14ac:dyDescent="0.2">
      <c r="A50" s="313"/>
      <c r="B50" s="313"/>
      <c r="C50" s="313"/>
      <c r="D50" s="313"/>
      <c r="E50" s="313"/>
      <c r="F50" s="313"/>
      <c r="G50" s="313"/>
      <c r="H50" s="313"/>
      <c r="I50" s="313"/>
      <c r="J50" s="313"/>
      <c r="K50" s="313"/>
    </row>
    <row r="51" spans="1:11" ht="14.1" customHeight="1" x14ac:dyDescent="0.2">
      <c r="A51" s="313"/>
      <c r="B51" s="313"/>
      <c r="C51" s="313"/>
      <c r="D51" s="313"/>
      <c r="E51" s="313"/>
      <c r="F51" s="313"/>
      <c r="G51" s="313"/>
      <c r="H51" s="313"/>
      <c r="I51" s="313"/>
      <c r="J51" s="313"/>
      <c r="K51" s="313"/>
    </row>
    <row r="52" spans="1:11" ht="14.1" customHeight="1" x14ac:dyDescent="0.2">
      <c r="A52" s="313"/>
      <c r="B52" s="313"/>
      <c r="C52" s="313"/>
      <c r="D52" s="313"/>
      <c r="E52" s="313"/>
      <c r="F52" s="313"/>
      <c r="G52" s="313"/>
      <c r="H52" s="313"/>
      <c r="I52" s="313"/>
      <c r="J52" s="313"/>
      <c r="K52" s="313"/>
    </row>
    <row r="53" spans="1:11" ht="14.1" customHeight="1" x14ac:dyDescent="0.2">
      <c r="A53" s="313"/>
      <c r="B53" s="313"/>
      <c r="C53" s="313"/>
      <c r="D53" s="313"/>
      <c r="E53" s="313"/>
      <c r="F53" s="313"/>
      <c r="G53" s="313"/>
      <c r="H53" s="313"/>
      <c r="I53" s="313"/>
      <c r="J53" s="313"/>
      <c r="K53" s="313"/>
    </row>
    <row r="54" spans="1:11" ht="14.1" customHeight="1" x14ac:dyDescent="0.2">
      <c r="A54" s="313"/>
      <c r="B54" s="313"/>
      <c r="C54" s="313"/>
      <c r="D54" s="313"/>
      <c r="E54" s="313"/>
      <c r="F54" s="313"/>
      <c r="G54" s="313"/>
      <c r="H54" s="313"/>
      <c r="I54" s="313"/>
      <c r="J54" s="313"/>
      <c r="K54" s="313"/>
    </row>
    <row r="55" spans="1:11" ht="14.1" customHeight="1" x14ac:dyDescent="0.2">
      <c r="A55" s="313"/>
      <c r="B55" s="313"/>
      <c r="C55" s="313"/>
      <c r="D55" s="313"/>
      <c r="E55" s="313"/>
      <c r="F55" s="313"/>
      <c r="G55" s="313"/>
      <c r="H55" s="313"/>
      <c r="I55" s="313"/>
      <c r="J55" s="313"/>
      <c r="K55" s="313"/>
    </row>
    <row r="56" spans="1:11" ht="14.1" customHeight="1" x14ac:dyDescent="0.2">
      <c r="A56" s="313"/>
      <c r="B56" s="313"/>
      <c r="C56" s="313"/>
      <c r="D56" s="313"/>
      <c r="E56" s="313"/>
      <c r="F56" s="313"/>
      <c r="G56" s="313"/>
      <c r="H56" s="313"/>
      <c r="I56" s="313"/>
      <c r="J56" s="313"/>
      <c r="K56" s="313"/>
    </row>
    <row r="57" spans="1:11" ht="14.1" customHeight="1" x14ac:dyDescent="0.2">
      <c r="A57" s="313"/>
      <c r="B57" s="313"/>
      <c r="C57" s="313"/>
      <c r="D57" s="313"/>
      <c r="E57" s="313"/>
      <c r="F57" s="313"/>
      <c r="G57" s="313"/>
      <c r="H57" s="313"/>
      <c r="I57" s="313"/>
      <c r="J57" s="313"/>
      <c r="K57" s="313"/>
    </row>
    <row r="58" spans="1:11" ht="14.1" customHeight="1" x14ac:dyDescent="0.2">
      <c r="A58" s="313"/>
      <c r="B58" s="313"/>
      <c r="C58" s="313"/>
      <c r="D58" s="313"/>
      <c r="E58" s="313"/>
      <c r="F58" s="313"/>
      <c r="G58" s="313"/>
      <c r="H58" s="313"/>
      <c r="I58" s="313"/>
      <c r="J58" s="313"/>
      <c r="K58" s="313"/>
    </row>
    <row r="59" spans="1:11" ht="14.1" customHeight="1" x14ac:dyDescent="0.2">
      <c r="A59" s="313"/>
      <c r="B59" s="313"/>
      <c r="C59" s="313"/>
      <c r="D59" s="313"/>
      <c r="E59" s="313"/>
      <c r="F59" s="313"/>
      <c r="G59" s="313"/>
      <c r="H59" s="313"/>
      <c r="I59" s="313"/>
      <c r="J59" s="313"/>
      <c r="K59" s="313"/>
    </row>
    <row r="60" spans="1:11" ht="14.1" customHeight="1" x14ac:dyDescent="0.2">
      <c r="A60" s="313"/>
      <c r="B60" s="313"/>
      <c r="C60" s="313"/>
      <c r="D60" s="313"/>
      <c r="E60" s="313"/>
      <c r="F60" s="313"/>
      <c r="G60" s="313"/>
      <c r="H60" s="313"/>
      <c r="I60" s="313"/>
      <c r="J60" s="313"/>
      <c r="K60" s="313"/>
    </row>
    <row r="61" spans="1:11" ht="14.1" customHeight="1" x14ac:dyDescent="0.2">
      <c r="A61" s="313"/>
      <c r="B61" s="313"/>
      <c r="C61" s="313"/>
      <c r="D61" s="313"/>
      <c r="E61" s="313"/>
      <c r="F61" s="313"/>
      <c r="G61" s="313"/>
      <c r="H61" s="313"/>
      <c r="I61" s="313"/>
      <c r="J61" s="313"/>
      <c r="K61" s="313"/>
    </row>
    <row r="62" spans="1:11" ht="14.1" customHeight="1" x14ac:dyDescent="0.2">
      <c r="A62" s="313"/>
      <c r="B62" s="313"/>
      <c r="C62" s="313"/>
      <c r="D62" s="313"/>
      <c r="E62" s="313"/>
      <c r="F62" s="313"/>
      <c r="G62" s="313"/>
      <c r="H62" s="313"/>
      <c r="I62" s="313"/>
      <c r="J62" s="313"/>
      <c r="K62" s="313"/>
    </row>
    <row r="63" spans="1:11" ht="14.1" customHeight="1" x14ac:dyDescent="0.2">
      <c r="A63" s="313"/>
      <c r="B63" s="313"/>
      <c r="C63" s="313"/>
      <c r="D63" s="313"/>
      <c r="E63" s="313"/>
      <c r="F63" s="313"/>
      <c r="G63" s="313"/>
      <c r="H63" s="313"/>
      <c r="I63" s="313"/>
      <c r="J63" s="313"/>
      <c r="K63" s="313"/>
    </row>
    <row r="64" spans="1:11" ht="14.1" customHeight="1" x14ac:dyDescent="0.2">
      <c r="A64" s="313"/>
      <c r="B64" s="313"/>
      <c r="C64" s="313"/>
      <c r="D64" s="313"/>
      <c r="E64" s="313"/>
      <c r="F64" s="313"/>
      <c r="G64" s="313"/>
      <c r="H64" s="313"/>
      <c r="I64" s="313"/>
      <c r="J64" s="313"/>
      <c r="K64" s="313"/>
    </row>
    <row r="65" spans="1:11" ht="14.1" customHeight="1" x14ac:dyDescent="0.2">
      <c r="A65" s="313"/>
      <c r="B65" s="313"/>
      <c r="C65" s="313"/>
      <c r="D65" s="313"/>
      <c r="E65" s="313"/>
      <c r="F65" s="313"/>
      <c r="G65" s="313"/>
      <c r="H65" s="313"/>
      <c r="I65" s="313"/>
      <c r="J65" s="313"/>
      <c r="K65" s="313"/>
    </row>
    <row r="66" spans="1:11" ht="14.1" customHeight="1" x14ac:dyDescent="0.2">
      <c r="A66" s="313"/>
      <c r="B66" s="313"/>
      <c r="C66" s="313"/>
      <c r="D66" s="313"/>
      <c r="E66" s="313"/>
      <c r="F66" s="313"/>
      <c r="G66" s="313"/>
      <c r="H66" s="313"/>
      <c r="I66" s="313"/>
      <c r="J66" s="313"/>
      <c r="K66" s="313"/>
    </row>
    <row r="67" spans="1:11" ht="14.1" customHeight="1" x14ac:dyDescent="0.2">
      <c r="A67" s="313"/>
      <c r="B67" s="313"/>
      <c r="C67" s="313"/>
      <c r="D67" s="313"/>
      <c r="E67" s="313"/>
      <c r="F67" s="313"/>
      <c r="G67" s="313"/>
      <c r="H67" s="313"/>
      <c r="I67" s="313"/>
      <c r="J67" s="313"/>
      <c r="K67" s="313"/>
    </row>
    <row r="68" spans="1:11" ht="14.1" customHeight="1" x14ac:dyDescent="0.2">
      <c r="A68" s="313"/>
      <c r="B68" s="313"/>
      <c r="C68" s="313"/>
      <c r="D68" s="313"/>
      <c r="E68" s="313"/>
      <c r="F68" s="313"/>
      <c r="G68" s="313"/>
      <c r="H68" s="313"/>
      <c r="I68" s="313"/>
      <c r="J68" s="313"/>
      <c r="K68" s="313"/>
    </row>
    <row r="69" spans="1:11" ht="14.1" customHeight="1" x14ac:dyDescent="0.2">
      <c r="A69" s="313"/>
      <c r="B69" s="313"/>
      <c r="C69" s="313"/>
      <c r="D69" s="313"/>
      <c r="E69" s="313"/>
      <c r="F69" s="313"/>
      <c r="G69" s="313"/>
      <c r="H69" s="313"/>
      <c r="I69" s="313"/>
      <c r="J69" s="313"/>
      <c r="K69" s="313"/>
    </row>
    <row r="70" spans="1:11" ht="14.1" customHeight="1" x14ac:dyDescent="0.2">
      <c r="A70" s="313"/>
      <c r="B70" s="313"/>
      <c r="C70" s="313"/>
      <c r="D70" s="313"/>
      <c r="E70" s="313"/>
      <c r="F70" s="313"/>
      <c r="G70" s="313"/>
      <c r="H70" s="313"/>
      <c r="I70" s="313"/>
      <c r="J70" s="313"/>
      <c r="K70" s="313"/>
    </row>
    <row r="71" spans="1:11" ht="14.1" customHeight="1" x14ac:dyDescent="0.2">
      <c r="A71" s="313"/>
      <c r="B71" s="313"/>
      <c r="C71" s="313"/>
      <c r="D71" s="313"/>
      <c r="E71" s="313"/>
      <c r="F71" s="313"/>
      <c r="G71" s="313"/>
      <c r="H71" s="313"/>
      <c r="I71" s="313"/>
      <c r="J71" s="313"/>
      <c r="K71" s="313"/>
    </row>
    <row r="72" spans="1:11" ht="14.1" customHeight="1" x14ac:dyDescent="0.2">
      <c r="A72" s="313"/>
      <c r="B72" s="313"/>
      <c r="C72" s="313"/>
      <c r="D72" s="313"/>
      <c r="E72" s="313"/>
      <c r="F72" s="313"/>
      <c r="G72" s="313"/>
      <c r="H72" s="313"/>
      <c r="I72" s="313"/>
      <c r="J72" s="313"/>
      <c r="K72" s="313"/>
    </row>
    <row r="73" spans="1:11" ht="14.1" customHeight="1" x14ac:dyDescent="0.2">
      <c r="A73" s="313"/>
      <c r="B73" s="313"/>
      <c r="C73" s="313"/>
      <c r="D73" s="313"/>
      <c r="E73" s="313"/>
      <c r="F73" s="313"/>
      <c r="G73" s="313"/>
      <c r="H73" s="313"/>
      <c r="I73" s="313"/>
      <c r="J73" s="313"/>
      <c r="K73" s="313"/>
    </row>
    <row r="74" spans="1:11" ht="14.1" customHeight="1" x14ac:dyDescent="0.2">
      <c r="A74" s="313"/>
      <c r="B74" s="313"/>
      <c r="C74" s="313"/>
      <c r="D74" s="313"/>
      <c r="E74" s="313"/>
      <c r="F74" s="313"/>
      <c r="G74" s="313"/>
      <c r="H74" s="313"/>
      <c r="I74" s="313"/>
      <c r="J74" s="313"/>
      <c r="K74" s="313"/>
    </row>
    <row r="75" spans="1:11" ht="14.1" customHeight="1" x14ac:dyDescent="0.2">
      <c r="A75" s="313"/>
      <c r="B75" s="313"/>
      <c r="C75" s="313"/>
      <c r="D75" s="313"/>
      <c r="E75" s="313"/>
      <c r="F75" s="313"/>
      <c r="G75" s="313"/>
      <c r="H75" s="313"/>
      <c r="I75" s="313"/>
      <c r="J75" s="313"/>
      <c r="K75" s="313"/>
    </row>
    <row r="76" spans="1:11" ht="14.1" customHeight="1" x14ac:dyDescent="0.2">
      <c r="A76" s="313"/>
      <c r="B76" s="313"/>
      <c r="C76" s="313"/>
      <c r="D76" s="313"/>
      <c r="E76" s="313"/>
      <c r="F76" s="313"/>
      <c r="G76" s="313"/>
      <c r="H76" s="313"/>
      <c r="I76" s="313"/>
      <c r="J76" s="313"/>
      <c r="K76" s="313"/>
    </row>
  </sheetData>
  <pageMargins left="0.70866141732283472" right="0.70866141732283472" top="0.74803149606299213" bottom="0.74803149606299213" header="0.31496062992125984" footer="0.31496062992125984"/>
  <pageSetup paperSize="9" scale="86" orientation="portrait" verticalDpi="0" r:id="rId1"/>
  <headerFooter>
    <oddFooter>&amp;RPage &amp;P of &amp;N</oddFooter>
  </headerFooter>
  <ignoredErrors>
    <ignoredError sqref="C5:L5 C17:L17"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tabColor theme="8" tint="0.39997558519241921"/>
    <pageSetUpPr fitToPage="1"/>
  </sheetPr>
  <dimension ref="A1:S70"/>
  <sheetViews>
    <sheetView showGridLines="0" topLeftCell="A6" zoomScaleNormal="100" workbookViewId="0">
      <selection activeCell="D12" sqref="D10:D12"/>
    </sheetView>
  </sheetViews>
  <sheetFormatPr defaultColWidth="9.140625" defaultRowHeight="14.1" customHeight="1" x14ac:dyDescent="0.2"/>
  <cols>
    <col min="1" max="1" width="1.28515625" style="38" customWidth="1"/>
    <col min="2" max="2" width="51.7109375" style="16" customWidth="1"/>
    <col min="3" max="3" width="8.85546875" style="16" customWidth="1"/>
    <col min="4" max="4" width="9.7109375" style="16" customWidth="1"/>
    <col min="5" max="5" width="9.140625" style="16" hidden="1" customWidth="1"/>
    <col min="6" max="6" width="12.140625" style="16" bestFit="1" customWidth="1"/>
    <col min="7" max="7" width="10.7109375" style="16" customWidth="1"/>
    <col min="8" max="8" width="9.7109375" style="16" customWidth="1"/>
    <col min="9" max="9" width="11" style="16" customWidth="1"/>
    <col min="10" max="10" width="9.7109375" style="16" customWidth="1"/>
    <col min="11" max="11" width="9.42578125" style="16" customWidth="1"/>
    <col min="12" max="16384" width="9.140625" style="16"/>
  </cols>
  <sheetData>
    <row r="1" spans="1:19" s="313" customFormat="1" ht="14.1" customHeight="1" x14ac:dyDescent="0.2">
      <c r="A1" s="350" t="s">
        <v>1310</v>
      </c>
      <c r="B1" s="351"/>
      <c r="C1" s="351"/>
      <c r="D1" s="351"/>
      <c r="E1" s="351"/>
      <c r="F1" s="351"/>
      <c r="G1" s="351"/>
      <c r="H1" s="351"/>
      <c r="I1" s="351"/>
      <c r="J1" s="351"/>
      <c r="K1" s="351"/>
    </row>
    <row r="2" spans="1:19" s="313" customFormat="1" ht="14.1" customHeight="1" x14ac:dyDescent="0.2">
      <c r="A2" s="205"/>
    </row>
    <row r="3" spans="1:19" ht="14.1" customHeight="1" x14ac:dyDescent="0.2">
      <c r="A3" s="205">
        <f>ROUNDDOWN('PPE 2 (group)'!A15,0)+1.1</f>
        <v>17.100000000000001</v>
      </c>
      <c r="B3" s="289" t="str">
        <f>"Note "&amp;A3&amp; " Property, plant and equipment - " &amp; CurrentFY</f>
        <v>Note 17.1 Property, plant and equipment - 2021/22</v>
      </c>
      <c r="C3" s="190"/>
      <c r="D3" s="314"/>
      <c r="E3" s="314"/>
      <c r="F3" s="314"/>
      <c r="G3" s="314"/>
      <c r="H3" s="314"/>
      <c r="I3" s="314"/>
      <c r="J3" s="314"/>
      <c r="K3" s="314"/>
      <c r="L3" s="314"/>
      <c r="M3" s="314"/>
      <c r="N3" s="314"/>
      <c r="O3" s="314"/>
      <c r="P3" s="314"/>
      <c r="Q3" s="314"/>
      <c r="R3" s="314"/>
      <c r="S3" s="314"/>
    </row>
    <row r="4" spans="1:19" ht="39.75" customHeight="1" x14ac:dyDescent="0.2">
      <c r="A4" s="205"/>
      <c r="B4" s="316" t="s">
        <v>94</v>
      </c>
      <c r="C4" s="290" t="s">
        <v>687</v>
      </c>
      <c r="D4" s="290" t="s">
        <v>964</v>
      </c>
      <c r="E4" s="290" t="s">
        <v>689</v>
      </c>
      <c r="F4" s="290" t="s">
        <v>965</v>
      </c>
      <c r="G4" s="290" t="s">
        <v>690</v>
      </c>
      <c r="H4" s="290" t="s">
        <v>691</v>
      </c>
      <c r="I4" s="290" t="s">
        <v>692</v>
      </c>
      <c r="J4" s="290" t="s">
        <v>693</v>
      </c>
      <c r="K4" s="290" t="s">
        <v>953</v>
      </c>
      <c r="L4" s="321"/>
      <c r="M4" s="321"/>
      <c r="N4" s="313"/>
      <c r="O4" s="313"/>
      <c r="P4" s="313"/>
      <c r="Q4" s="313"/>
      <c r="R4" s="313"/>
      <c r="S4" s="313"/>
    </row>
    <row r="5" spans="1:19" ht="14.1" customHeight="1" x14ac:dyDescent="0.2">
      <c r="A5" s="205"/>
      <c r="B5" s="316"/>
      <c r="C5" s="290" t="s">
        <v>590</v>
      </c>
      <c r="D5" s="290" t="s">
        <v>590</v>
      </c>
      <c r="E5" s="290" t="s">
        <v>502</v>
      </c>
      <c r="F5" s="290" t="s">
        <v>502</v>
      </c>
      <c r="G5" s="290" t="s">
        <v>502</v>
      </c>
      <c r="H5" s="290" t="s">
        <v>502</v>
      </c>
      <c r="I5" s="290" t="s">
        <v>502</v>
      </c>
      <c r="J5" s="290" t="s">
        <v>502</v>
      </c>
      <c r="K5" s="290" t="s">
        <v>590</v>
      </c>
      <c r="L5" s="313"/>
      <c r="M5" s="313"/>
      <c r="N5" s="313"/>
      <c r="O5" s="313"/>
      <c r="P5" s="313"/>
      <c r="Q5" s="313"/>
      <c r="R5" s="313"/>
      <c r="S5" s="313"/>
    </row>
    <row r="6" spans="1:19" ht="26.45" customHeight="1" x14ac:dyDescent="0.2">
      <c r="A6" s="205"/>
      <c r="B6" s="316" t="str">
        <f>"Valuation/gross cost at " &amp; TEXT(CurrentYearStart,"d mmmm yyyy") &amp; " - brought forward"</f>
        <v>Valuation/gross cost at 1 April 2021 - brought forward</v>
      </c>
      <c r="C6" s="220">
        <f>+C49</f>
        <v>23670.999899999999</v>
      </c>
      <c r="D6" s="220">
        <f t="shared" ref="D6:J6" si="0">+D49</f>
        <v>47059.80502</v>
      </c>
      <c r="E6" s="220">
        <f t="shared" si="0"/>
        <v>0</v>
      </c>
      <c r="F6" s="220">
        <f t="shared" si="0"/>
        <v>8913.36096</v>
      </c>
      <c r="G6" s="220">
        <f t="shared" si="0"/>
        <v>41430.724159999998</v>
      </c>
      <c r="H6" s="220">
        <f t="shared" si="0"/>
        <v>5.2107000000000001</v>
      </c>
      <c r="I6" s="220">
        <f t="shared" si="0"/>
        <v>13913.665000000001</v>
      </c>
      <c r="J6" s="220">
        <f t="shared" si="0"/>
        <v>2219.1000300000001</v>
      </c>
      <c r="K6" s="220">
        <f>SUM(C6:J6)</f>
        <v>137212.86577</v>
      </c>
      <c r="L6" s="313"/>
      <c r="M6" s="313"/>
      <c r="N6" s="313"/>
      <c r="O6" s="313"/>
      <c r="P6" s="313"/>
      <c r="Q6" s="313"/>
      <c r="R6" s="313"/>
      <c r="S6" s="313"/>
    </row>
    <row r="7" spans="1:19" ht="14.1" hidden="1" customHeight="1" x14ac:dyDescent="0.2">
      <c r="A7" s="205"/>
      <c r="B7" s="316" t="s">
        <v>967</v>
      </c>
      <c r="C7" s="220">
        <f>+'PPE (group)'!C7</f>
        <v>0</v>
      </c>
      <c r="D7" s="220">
        <f>+'PPE (group)'!D7</f>
        <v>0</v>
      </c>
      <c r="E7" s="220">
        <f>+'PPE (group)'!E7</f>
        <v>0</v>
      </c>
      <c r="F7" s="220">
        <f>+'PPE (group)'!F7</f>
        <v>0</v>
      </c>
      <c r="G7" s="220">
        <f>+'PPE (group)'!G7</f>
        <v>0</v>
      </c>
      <c r="H7" s="220">
        <f>+'PPE (group)'!H7</f>
        <v>0</v>
      </c>
      <c r="I7" s="220">
        <f>+'PPE (group)'!I7</f>
        <v>0</v>
      </c>
      <c r="J7" s="220">
        <f>+'PPE (group)'!J7</f>
        <v>0</v>
      </c>
      <c r="K7" s="220">
        <f t="shared" ref="K7:K15" si="1">SUM(C7:J7)</f>
        <v>0</v>
      </c>
      <c r="L7" s="171"/>
      <c r="M7" s="270" t="s">
        <v>592</v>
      </c>
      <c r="N7" s="313"/>
      <c r="O7" s="313"/>
      <c r="P7" s="313"/>
      <c r="Q7" s="313"/>
      <c r="R7" s="313"/>
      <c r="S7" s="313"/>
    </row>
    <row r="8" spans="1:19" ht="14.1" hidden="1" customHeight="1" x14ac:dyDescent="0.2">
      <c r="A8" s="205"/>
      <c r="B8" s="327" t="s">
        <v>962</v>
      </c>
      <c r="C8" s="220">
        <f>+'PPE (group)'!C8</f>
        <v>0</v>
      </c>
      <c r="D8" s="220">
        <f>+'PPE (group)'!D8</f>
        <v>0</v>
      </c>
      <c r="E8" s="220">
        <f>+'PPE (group)'!E8</f>
        <v>0</v>
      </c>
      <c r="F8" s="220">
        <f>+'PPE (group)'!F8</f>
        <v>0</v>
      </c>
      <c r="G8" s="220">
        <f>+'PPE (group)'!G8</f>
        <v>0</v>
      </c>
      <c r="H8" s="220">
        <f>+'PPE (group)'!H8</f>
        <v>0</v>
      </c>
      <c r="I8" s="220">
        <f>+'PPE (group)'!I8</f>
        <v>0</v>
      </c>
      <c r="J8" s="220">
        <f>+'PPE (group)'!J8</f>
        <v>0</v>
      </c>
      <c r="K8" s="220">
        <f t="shared" si="1"/>
        <v>0</v>
      </c>
      <c r="L8" s="171"/>
      <c r="M8" s="314"/>
      <c r="N8" s="313"/>
      <c r="O8" s="313"/>
      <c r="P8" s="313"/>
      <c r="Q8" s="313"/>
      <c r="R8" s="313"/>
      <c r="S8" s="313"/>
    </row>
    <row r="9" spans="1:19" ht="14.1" customHeight="1" x14ac:dyDescent="0.2">
      <c r="A9" s="205"/>
      <c r="B9" s="327" t="s">
        <v>956</v>
      </c>
      <c r="C9" s="220">
        <f>+'PPE (group)'!C9</f>
        <v>0</v>
      </c>
      <c r="D9" s="220">
        <f>+'PPE (group)'!D9-4</f>
        <v>3192</v>
      </c>
      <c r="E9" s="220">
        <f>+'PPE (group)'!E9</f>
        <v>0</v>
      </c>
      <c r="F9" s="220">
        <f>+'PPE (group)'!F9-1393</f>
        <v>2503</v>
      </c>
      <c r="G9" s="220">
        <f>+'PPE (group)'!G9-45</f>
        <v>5466</v>
      </c>
      <c r="H9" s="220">
        <f>+'PPE (group)'!H9</f>
        <v>0</v>
      </c>
      <c r="I9" s="220">
        <f>+'PPE (group)'!I9-22</f>
        <v>603</v>
      </c>
      <c r="J9" s="220">
        <f>+'PPE (group)'!J9-2</f>
        <v>69</v>
      </c>
      <c r="K9" s="220">
        <f t="shared" si="1"/>
        <v>11833</v>
      </c>
      <c r="L9" s="171"/>
      <c r="M9" s="314"/>
      <c r="N9" s="313"/>
      <c r="O9" s="313"/>
      <c r="P9" s="313"/>
      <c r="Q9" s="313"/>
      <c r="R9" s="313"/>
      <c r="S9" s="313"/>
    </row>
    <row r="10" spans="1:19" ht="14.1" customHeight="1" x14ac:dyDescent="0.2">
      <c r="A10" s="205"/>
      <c r="B10" s="327" t="s">
        <v>597</v>
      </c>
      <c r="C10" s="220">
        <f>+'PPE (group)'!C10</f>
        <v>0</v>
      </c>
      <c r="D10" s="220">
        <f>+'PPE (group)'!D10</f>
        <v>-29</v>
      </c>
      <c r="E10" s="220">
        <f>+'PPE (group)'!E10</f>
        <v>0</v>
      </c>
      <c r="F10" s="220">
        <f>+'PPE (group)'!F10</f>
        <v>0</v>
      </c>
      <c r="G10" s="220">
        <f>+'PPE (group)'!G10</f>
        <v>0</v>
      </c>
      <c r="H10" s="220">
        <f>+'PPE (group)'!H10</f>
        <v>0</v>
      </c>
      <c r="I10" s="220">
        <f>+'PPE (group)'!I10</f>
        <v>0</v>
      </c>
      <c r="J10" s="220">
        <f>+'PPE (group)'!J10</f>
        <v>0</v>
      </c>
      <c r="K10" s="220">
        <f t="shared" si="1"/>
        <v>-29</v>
      </c>
      <c r="L10" s="171"/>
      <c r="M10" s="314"/>
      <c r="N10" s="313"/>
      <c r="O10" s="313"/>
      <c r="P10" s="313"/>
      <c r="Q10" s="313"/>
      <c r="R10" s="313"/>
      <c r="S10" s="313"/>
    </row>
    <row r="11" spans="1:19" ht="14.1" hidden="1" customHeight="1" x14ac:dyDescent="0.2">
      <c r="A11" s="205"/>
      <c r="B11" s="327" t="s">
        <v>957</v>
      </c>
      <c r="C11" s="220">
        <f>+'PPE (group)'!C11</f>
        <v>0</v>
      </c>
      <c r="D11" s="220">
        <f>+'PPE (group)'!D11</f>
        <v>0</v>
      </c>
      <c r="E11" s="220">
        <f>+'PPE (group)'!E11</f>
        <v>0</v>
      </c>
      <c r="F11" s="220">
        <f>+'PPE (group)'!F11</f>
        <v>0</v>
      </c>
      <c r="G11" s="220">
        <f>+'PPE (group)'!G11</f>
        <v>0</v>
      </c>
      <c r="H11" s="220">
        <f>+'PPE (group)'!H11</f>
        <v>0</v>
      </c>
      <c r="I11" s="220">
        <f>+'PPE (group)'!I11</f>
        <v>0</v>
      </c>
      <c r="J11" s="220">
        <f>+'PPE (group)'!J11</f>
        <v>0</v>
      </c>
      <c r="K11" s="220">
        <f t="shared" si="1"/>
        <v>0</v>
      </c>
      <c r="L11" s="171"/>
      <c r="M11" s="314"/>
      <c r="N11" s="313"/>
      <c r="O11" s="313"/>
      <c r="P11" s="313"/>
      <c r="Q11" s="313"/>
      <c r="R11" s="313"/>
      <c r="S11" s="313"/>
    </row>
    <row r="12" spans="1:19" ht="14.1" customHeight="1" x14ac:dyDescent="0.2">
      <c r="A12" s="205"/>
      <c r="B12" s="327" t="s">
        <v>958</v>
      </c>
      <c r="C12" s="220">
        <f>+'PPE (group)'!C12</f>
        <v>2366</v>
      </c>
      <c r="D12" s="220">
        <f>+'PPE (group)'!D12</f>
        <v>870</v>
      </c>
      <c r="E12" s="220">
        <f>+'PPE (group)'!E12</f>
        <v>0</v>
      </c>
      <c r="F12" s="220">
        <f>+'PPE (group)'!F12</f>
        <v>0</v>
      </c>
      <c r="G12" s="220">
        <f>+'PPE (group)'!G12</f>
        <v>0</v>
      </c>
      <c r="H12" s="220">
        <f>+'PPE (group)'!H12</f>
        <v>0</v>
      </c>
      <c r="I12" s="220">
        <f>+'PPE (group)'!I12</f>
        <v>0</v>
      </c>
      <c r="J12" s="220">
        <f>+'PPE (group)'!J12</f>
        <v>0</v>
      </c>
      <c r="K12" s="220">
        <f t="shared" si="1"/>
        <v>3236</v>
      </c>
      <c r="L12" s="171"/>
      <c r="M12" s="314"/>
      <c r="N12" s="313"/>
      <c r="O12" s="313"/>
      <c r="P12" s="313"/>
      <c r="Q12" s="313"/>
      <c r="R12" s="313"/>
      <c r="S12" s="313"/>
    </row>
    <row r="13" spans="1:19" ht="14.1" hidden="1" customHeight="1" x14ac:dyDescent="0.2">
      <c r="A13" s="205"/>
      <c r="B13" s="327" t="s">
        <v>959</v>
      </c>
      <c r="C13" s="220">
        <f>+'PPE (group)'!C13</f>
        <v>0</v>
      </c>
      <c r="D13" s="220">
        <f>+'PPE (group)'!D13</f>
        <v>0</v>
      </c>
      <c r="E13" s="220">
        <f>+'PPE (group)'!E13</f>
        <v>0</v>
      </c>
      <c r="F13" s="220">
        <f>+'PPE (group)'!F13</f>
        <v>0</v>
      </c>
      <c r="G13" s="220">
        <f>+'PPE (group)'!G13</f>
        <v>0</v>
      </c>
      <c r="H13" s="220">
        <f>+'PPE (group)'!H13</f>
        <v>0</v>
      </c>
      <c r="I13" s="220">
        <f>+'PPE (group)'!I13</f>
        <v>0</v>
      </c>
      <c r="J13" s="220">
        <f>+'PPE (group)'!J13</f>
        <v>0</v>
      </c>
      <c r="K13" s="220">
        <f t="shared" si="1"/>
        <v>0</v>
      </c>
      <c r="L13" s="171"/>
      <c r="M13" s="314"/>
      <c r="N13" s="313"/>
      <c r="O13" s="313"/>
      <c r="P13" s="313"/>
      <c r="Q13" s="313"/>
      <c r="R13" s="313"/>
      <c r="S13" s="313"/>
    </row>
    <row r="14" spans="1:19" ht="13.7" customHeight="1" x14ac:dyDescent="0.2">
      <c r="A14" s="205"/>
      <c r="B14" s="426" t="s">
        <v>1426</v>
      </c>
      <c r="C14" s="220">
        <f>+'PPE (group)'!C14</f>
        <v>0</v>
      </c>
      <c r="D14" s="220">
        <f>+'PPE (group)'!D14</f>
        <v>29</v>
      </c>
      <c r="E14" s="220">
        <f>+'PPE (group)'!E14</f>
        <v>0</v>
      </c>
      <c r="F14" s="220">
        <f>+'PPE (group)'!F14</f>
        <v>0</v>
      </c>
      <c r="G14" s="220">
        <f>+'PPE (group)'!G14</f>
        <v>193</v>
      </c>
      <c r="H14" s="220">
        <f>+'PPE (group)'!H14</f>
        <v>0</v>
      </c>
      <c r="I14" s="220">
        <f>+'PPE (group)'!I14</f>
        <v>8</v>
      </c>
      <c r="J14" s="220">
        <f>+'PPE (group)'!J14</f>
        <v>11</v>
      </c>
      <c r="K14" s="220">
        <f t="shared" si="1"/>
        <v>241</v>
      </c>
      <c r="L14" s="171"/>
      <c r="M14" s="314"/>
      <c r="N14" s="313"/>
      <c r="O14" s="313"/>
      <c r="P14" s="313"/>
      <c r="Q14" s="313"/>
      <c r="R14" s="313"/>
      <c r="S14" s="313"/>
    </row>
    <row r="15" spans="1:19" ht="14.1" customHeight="1" x14ac:dyDescent="0.2">
      <c r="A15" s="205"/>
      <c r="B15" s="327" t="s">
        <v>1446</v>
      </c>
      <c r="C15" s="220">
        <f>+'PPE (group)'!C15</f>
        <v>0</v>
      </c>
      <c r="D15" s="220">
        <f>+'PPE (group)'!D15</f>
        <v>-1186</v>
      </c>
      <c r="E15" s="220">
        <f>+'PPE (group)'!E15</f>
        <v>0</v>
      </c>
      <c r="F15" s="220">
        <f>+'PPE (group)'!F15</f>
        <v>0</v>
      </c>
      <c r="G15" s="220">
        <f>+'PPE (group)'!G15</f>
        <v>-8738</v>
      </c>
      <c r="H15" s="220">
        <f>+'PPE (group)'!H15</f>
        <v>0</v>
      </c>
      <c r="I15" s="220">
        <f>+'PPE (group)'!I15</f>
        <v>-6136</v>
      </c>
      <c r="J15" s="220">
        <f>+'PPE (group)'!J15</f>
        <v>-888</v>
      </c>
      <c r="K15" s="220">
        <f t="shared" si="1"/>
        <v>-16948</v>
      </c>
      <c r="L15" s="171"/>
      <c r="M15" s="314"/>
      <c r="N15" s="313"/>
      <c r="O15" s="313"/>
      <c r="P15" s="313"/>
      <c r="Q15" s="313"/>
      <c r="R15" s="313"/>
      <c r="S15" s="313"/>
    </row>
    <row r="16" spans="1:19" ht="14.1" customHeight="1" thickBot="1" x14ac:dyDescent="0.25">
      <c r="A16" s="205"/>
      <c r="B16" s="289" t="str">
        <f>"Valuation/gross cost at " &amp; TEXT(CurrentYearEnd, "d mmmm yyyy")</f>
        <v>Valuation/gross cost at 31 March 2022</v>
      </c>
      <c r="C16" s="206">
        <f t="shared" ref="C16:K16" si="2">SUM(C6:C15)</f>
        <v>26036.999899999999</v>
      </c>
      <c r="D16" s="206">
        <f t="shared" si="2"/>
        <v>49935.80502</v>
      </c>
      <c r="E16" s="206">
        <f t="shared" si="2"/>
        <v>0</v>
      </c>
      <c r="F16" s="206">
        <f t="shared" si="2"/>
        <v>11416.36096</v>
      </c>
      <c r="G16" s="206">
        <f t="shared" si="2"/>
        <v>38351.724159999998</v>
      </c>
      <c r="H16" s="206">
        <f t="shared" si="2"/>
        <v>5.2107000000000001</v>
      </c>
      <c r="I16" s="206">
        <f t="shared" si="2"/>
        <v>8388.6650000000009</v>
      </c>
      <c r="J16" s="206">
        <f t="shared" si="2"/>
        <v>1411.1000300000001</v>
      </c>
      <c r="K16" s="206">
        <f t="shared" si="2"/>
        <v>135545.86577</v>
      </c>
      <c r="L16" s="313"/>
      <c r="M16" s="314"/>
      <c r="N16" s="313"/>
      <c r="O16" s="313"/>
      <c r="P16" s="313"/>
      <c r="Q16" s="313"/>
      <c r="R16" s="313"/>
      <c r="S16" s="313"/>
    </row>
    <row r="17" spans="1:19" ht="14.1" customHeight="1" thickTop="1" x14ac:dyDescent="0.2">
      <c r="A17" s="205"/>
      <c r="B17" s="316"/>
      <c r="C17" s="199"/>
      <c r="D17" s="199"/>
      <c r="E17" s="199"/>
      <c r="F17" s="199"/>
      <c r="G17" s="199"/>
      <c r="H17" s="199"/>
      <c r="I17" s="199"/>
      <c r="J17" s="199"/>
      <c r="K17" s="199"/>
      <c r="L17" s="171"/>
      <c r="M17" s="314"/>
      <c r="N17" s="313"/>
      <c r="O17" s="313"/>
      <c r="P17" s="313"/>
      <c r="Q17" s="313"/>
      <c r="R17" s="313"/>
      <c r="S17" s="313"/>
    </row>
    <row r="18" spans="1:19" ht="28.35" customHeight="1" x14ac:dyDescent="0.2">
      <c r="A18" s="205"/>
      <c r="B18" s="316" t="str">
        <f>"Accumulated depreciation at " &amp; TEXT(CurrentYearStart,"d mmmm yyyy")&amp; " - brought forward"</f>
        <v>Accumulated depreciation at 1 April 2021 - brought forward</v>
      </c>
      <c r="C18" s="220">
        <f>+C63</f>
        <v>0</v>
      </c>
      <c r="D18" s="220">
        <f t="shared" ref="D18:J18" si="3">+D63</f>
        <v>2703.1977399999996</v>
      </c>
      <c r="E18" s="220">
        <f t="shared" si="3"/>
        <v>0</v>
      </c>
      <c r="F18" s="220">
        <f t="shared" si="3"/>
        <v>0</v>
      </c>
      <c r="G18" s="220">
        <f t="shared" si="3"/>
        <v>24887.066999999999</v>
      </c>
      <c r="H18" s="220">
        <f t="shared" si="3"/>
        <v>5.2107000000000001</v>
      </c>
      <c r="I18" s="220">
        <f t="shared" si="3"/>
        <v>11181.315479999999</v>
      </c>
      <c r="J18" s="220">
        <f t="shared" si="3"/>
        <v>1778.5351599999999</v>
      </c>
      <c r="K18" s="220">
        <f t="shared" ref="K18:K27" si="4">SUM(C18:J18)</f>
        <v>40555.326079999999</v>
      </c>
      <c r="L18" s="172"/>
      <c r="M18" s="314"/>
      <c r="N18" s="313"/>
      <c r="O18" s="313"/>
      <c r="P18" s="313"/>
      <c r="Q18" s="313"/>
      <c r="R18" s="313"/>
      <c r="S18" s="313"/>
    </row>
    <row r="19" spans="1:19" ht="14.1" hidden="1" customHeight="1" x14ac:dyDescent="0.2">
      <c r="A19" s="205"/>
      <c r="B19" s="316" t="s">
        <v>968</v>
      </c>
      <c r="C19" s="220">
        <f>+'PPE (group)'!C19</f>
        <v>0</v>
      </c>
      <c r="D19" s="220">
        <f>+'PPE (group)'!D19</f>
        <v>0</v>
      </c>
      <c r="E19" s="220">
        <f>+'PPE (group)'!E19</f>
        <v>0</v>
      </c>
      <c r="F19" s="220">
        <f>+'PPE (group)'!F19</f>
        <v>0</v>
      </c>
      <c r="G19" s="220">
        <f>+'PPE (group)'!G19</f>
        <v>0</v>
      </c>
      <c r="H19" s="220">
        <f>+'PPE (group)'!H19</f>
        <v>0</v>
      </c>
      <c r="I19" s="220">
        <f>+'PPE (group)'!I19</f>
        <v>0</v>
      </c>
      <c r="J19" s="220">
        <f>+'PPE (group)'!J19</f>
        <v>0</v>
      </c>
      <c r="K19" s="220">
        <f t="shared" si="4"/>
        <v>0</v>
      </c>
      <c r="L19" s="313"/>
      <c r="M19" s="270" t="s">
        <v>592</v>
      </c>
    </row>
    <row r="20" spans="1:19" ht="14.1" hidden="1" customHeight="1" x14ac:dyDescent="0.2">
      <c r="A20" s="205"/>
      <c r="B20" s="327" t="s">
        <v>962</v>
      </c>
      <c r="C20" s="220">
        <f>+'PPE (group)'!C20</f>
        <v>0</v>
      </c>
      <c r="D20" s="220">
        <f>+'PPE (group)'!D20</f>
        <v>0</v>
      </c>
      <c r="E20" s="220">
        <f>+'PPE (group)'!E20</f>
        <v>0</v>
      </c>
      <c r="F20" s="220">
        <f>+'PPE (group)'!F20</f>
        <v>0</v>
      </c>
      <c r="G20" s="220">
        <f>+'PPE (group)'!G20</f>
        <v>0</v>
      </c>
      <c r="H20" s="220">
        <f>+'PPE (group)'!H20</f>
        <v>0</v>
      </c>
      <c r="I20" s="220">
        <f>+'PPE (group)'!I20</f>
        <v>0</v>
      </c>
      <c r="J20" s="220">
        <f>+'PPE (group)'!J20</f>
        <v>0</v>
      </c>
      <c r="K20" s="220">
        <f t="shared" si="4"/>
        <v>0</v>
      </c>
      <c r="L20" s="313"/>
      <c r="M20" s="314"/>
    </row>
    <row r="21" spans="1:19" ht="14.1" customHeight="1" x14ac:dyDescent="0.2">
      <c r="A21" s="205"/>
      <c r="B21" s="327" t="s">
        <v>963</v>
      </c>
      <c r="C21" s="220">
        <f>+'PPE (group)'!C21</f>
        <v>0</v>
      </c>
      <c r="D21" s="220">
        <f>+'PPE (group)'!D21-50</f>
        <v>2769</v>
      </c>
      <c r="E21" s="220">
        <f>+'PPE (group)'!E21</f>
        <v>0</v>
      </c>
      <c r="F21" s="220">
        <f>+'PPE (group)'!F21</f>
        <v>0</v>
      </c>
      <c r="G21" s="220">
        <f>+'PPE (group)'!G21-12</f>
        <v>3244</v>
      </c>
      <c r="H21" s="220">
        <f>+'PPE (group)'!H21</f>
        <v>0</v>
      </c>
      <c r="I21" s="220">
        <f>+'PPE (group)'!I21-20</f>
        <v>1186</v>
      </c>
      <c r="J21" s="220">
        <f>+'PPE (group)'!J21-1</f>
        <v>132</v>
      </c>
      <c r="K21" s="220">
        <f t="shared" si="4"/>
        <v>7331</v>
      </c>
      <c r="L21" s="313"/>
      <c r="M21" s="314"/>
    </row>
    <row r="22" spans="1:19" ht="14.1" hidden="1" customHeight="1" x14ac:dyDescent="0.2">
      <c r="A22" s="205"/>
      <c r="B22" s="327" t="s">
        <v>597</v>
      </c>
      <c r="C22" s="220">
        <f>+'PPE (group)'!C22</f>
        <v>0</v>
      </c>
      <c r="D22" s="220">
        <f>+'PPE (group)'!D22</f>
        <v>0</v>
      </c>
      <c r="E22" s="220">
        <f>+'PPE (group)'!E22</f>
        <v>0</v>
      </c>
      <c r="F22" s="220">
        <f>+'PPE (group)'!F22</f>
        <v>0</v>
      </c>
      <c r="G22" s="220">
        <f>+'PPE (group)'!G22</f>
        <v>0</v>
      </c>
      <c r="H22" s="220">
        <f>+'PPE (group)'!H22</f>
        <v>0</v>
      </c>
      <c r="I22" s="220">
        <f>+'PPE (group)'!I22</f>
        <v>0</v>
      </c>
      <c r="J22" s="220">
        <f>+'PPE (group)'!J22</f>
        <v>0</v>
      </c>
      <c r="K22" s="220">
        <f t="shared" si="4"/>
        <v>0</v>
      </c>
      <c r="L22" s="313"/>
      <c r="M22" s="314"/>
    </row>
    <row r="23" spans="1:19" ht="14.1" hidden="1" customHeight="1" x14ac:dyDescent="0.2">
      <c r="A23" s="205"/>
      <c r="B23" s="327" t="s">
        <v>957</v>
      </c>
      <c r="C23" s="220">
        <f>+'PPE (group)'!C23</f>
        <v>0</v>
      </c>
      <c r="D23" s="220">
        <f>+'PPE (group)'!D23</f>
        <v>0</v>
      </c>
      <c r="E23" s="220">
        <f>+'PPE (group)'!E23</f>
        <v>0</v>
      </c>
      <c r="F23" s="220">
        <f>+'PPE (group)'!F23</f>
        <v>0</v>
      </c>
      <c r="G23" s="220">
        <f>+'PPE (group)'!G23</f>
        <v>0</v>
      </c>
      <c r="H23" s="220">
        <f>+'PPE (group)'!H23</f>
        <v>0</v>
      </c>
      <c r="I23" s="220">
        <f>+'PPE (group)'!I23</f>
        <v>0</v>
      </c>
      <c r="J23" s="220">
        <f>+'PPE (group)'!J23</f>
        <v>0</v>
      </c>
      <c r="K23" s="220">
        <f t="shared" si="4"/>
        <v>0</v>
      </c>
      <c r="L23" s="313"/>
      <c r="M23" s="314"/>
    </row>
    <row r="24" spans="1:19" ht="14.1" hidden="1" customHeight="1" x14ac:dyDescent="0.2">
      <c r="A24" s="205"/>
      <c r="B24" s="327" t="s">
        <v>958</v>
      </c>
      <c r="C24" s="220">
        <f>+'PPE (group)'!C24</f>
        <v>0</v>
      </c>
      <c r="D24" s="220">
        <f>+'PPE (group)'!D24</f>
        <v>0</v>
      </c>
      <c r="E24" s="220">
        <f>+'PPE (group)'!E24</f>
        <v>0</v>
      </c>
      <c r="F24" s="220">
        <f>+'PPE (group)'!F24</f>
        <v>0</v>
      </c>
      <c r="G24" s="220">
        <f>+'PPE (group)'!G24</f>
        <v>0</v>
      </c>
      <c r="H24" s="220">
        <f>+'PPE (group)'!H24</f>
        <v>0</v>
      </c>
      <c r="I24" s="220">
        <f>+'PPE (group)'!I24</f>
        <v>0</v>
      </c>
      <c r="J24" s="220">
        <f>+'PPE (group)'!J24</f>
        <v>0</v>
      </c>
      <c r="K24" s="220">
        <f t="shared" si="4"/>
        <v>0</v>
      </c>
      <c r="L24" s="313"/>
      <c r="M24" s="314"/>
    </row>
    <row r="25" spans="1:19" ht="14.1" hidden="1" customHeight="1" x14ac:dyDescent="0.2">
      <c r="A25" s="205"/>
      <c r="B25" s="327" t="s">
        <v>959</v>
      </c>
      <c r="C25" s="220">
        <f>+'PPE (group)'!C25</f>
        <v>0</v>
      </c>
      <c r="D25" s="220">
        <f>+'PPE (group)'!D25</f>
        <v>0</v>
      </c>
      <c r="E25" s="220">
        <f>+'PPE (group)'!E25</f>
        <v>0</v>
      </c>
      <c r="F25" s="220">
        <f>+'PPE (group)'!F25</f>
        <v>0</v>
      </c>
      <c r="G25" s="220">
        <f>+'PPE (group)'!G25</f>
        <v>0</v>
      </c>
      <c r="H25" s="220">
        <f>+'PPE (group)'!H25</f>
        <v>0</v>
      </c>
      <c r="I25" s="220">
        <f>+'PPE (group)'!I25</f>
        <v>0</v>
      </c>
      <c r="J25" s="220">
        <f>+'PPE (group)'!J25</f>
        <v>0</v>
      </c>
      <c r="K25" s="220">
        <f t="shared" si="4"/>
        <v>0</v>
      </c>
      <c r="L25" s="313"/>
      <c r="M25" s="314"/>
    </row>
    <row r="26" spans="1:19" s="21" customFormat="1" ht="14.1" customHeight="1" x14ac:dyDescent="0.2">
      <c r="A26" s="205"/>
      <c r="B26" s="426" t="s">
        <v>1426</v>
      </c>
      <c r="C26" s="220">
        <f>+'PPE (group)'!C26</f>
        <v>0</v>
      </c>
      <c r="D26" s="220">
        <f>+'PPE (group)'!D26</f>
        <v>0</v>
      </c>
      <c r="E26" s="220">
        <f>+'PPE (group)'!E26</f>
        <v>0</v>
      </c>
      <c r="F26" s="220">
        <f>+'PPE (group)'!F26</f>
        <v>0</v>
      </c>
      <c r="G26" s="220">
        <f>+'PPE (group)'!G26</f>
        <v>163</v>
      </c>
      <c r="H26" s="220">
        <f>+'PPE (group)'!H26</f>
        <v>0</v>
      </c>
      <c r="I26" s="220">
        <f>+'PPE (group)'!I26</f>
        <v>0</v>
      </c>
      <c r="J26" s="220">
        <f>+'PPE (group)'!J26</f>
        <v>0</v>
      </c>
      <c r="K26" s="220">
        <f t="shared" si="4"/>
        <v>163</v>
      </c>
      <c r="L26" s="313"/>
      <c r="M26" s="314"/>
    </row>
    <row r="27" spans="1:19" ht="14.1" customHeight="1" x14ac:dyDescent="0.2">
      <c r="A27" s="205"/>
      <c r="B27" s="327" t="s">
        <v>1446</v>
      </c>
      <c r="C27" s="220">
        <f>+'PPE (group)'!C27</f>
        <v>0</v>
      </c>
      <c r="D27" s="220">
        <f>+'PPE (group)'!D27</f>
        <v>-1185</v>
      </c>
      <c r="E27" s="220">
        <f>+'PPE (group)'!E27</f>
        <v>0</v>
      </c>
      <c r="F27" s="220">
        <f>+'PPE (group)'!F27</f>
        <v>0</v>
      </c>
      <c r="G27" s="220">
        <f>+'PPE (group)'!G27</f>
        <v>-8709</v>
      </c>
      <c r="H27" s="220">
        <f>+'PPE (group)'!H27</f>
        <v>0</v>
      </c>
      <c r="I27" s="220">
        <f>+'PPE (group)'!I27</f>
        <v>-6136</v>
      </c>
      <c r="J27" s="220">
        <f>+'PPE (group)'!J27</f>
        <v>-888</v>
      </c>
      <c r="K27" s="220">
        <f t="shared" si="4"/>
        <v>-16918</v>
      </c>
      <c r="L27" s="313"/>
      <c r="M27" s="314"/>
    </row>
    <row r="28" spans="1:19" ht="14.1" customHeight="1" thickBot="1" x14ac:dyDescent="0.25">
      <c r="A28" s="205"/>
      <c r="B28" s="289" t="str">
        <f>"Accumulated depreciation at " &amp; TEXT(CurrentYearEnd, "d mmmm yyyy")</f>
        <v>Accumulated depreciation at 31 March 2022</v>
      </c>
      <c r="C28" s="206">
        <f t="shared" ref="C28:K28" si="5">SUM(C18:C27)</f>
        <v>0</v>
      </c>
      <c r="D28" s="206">
        <f t="shared" si="5"/>
        <v>4287.1977399999996</v>
      </c>
      <c r="E28" s="206">
        <f t="shared" si="5"/>
        <v>0</v>
      </c>
      <c r="F28" s="206">
        <f t="shared" si="5"/>
        <v>0</v>
      </c>
      <c r="G28" s="206">
        <f t="shared" si="5"/>
        <v>19585.066999999999</v>
      </c>
      <c r="H28" s="206">
        <f t="shared" si="5"/>
        <v>5.2107000000000001</v>
      </c>
      <c r="I28" s="206">
        <f t="shared" si="5"/>
        <v>6231.3154799999993</v>
      </c>
      <c r="J28" s="206">
        <f t="shared" si="5"/>
        <v>1022.5351599999999</v>
      </c>
      <c r="K28" s="206">
        <f t="shared" si="5"/>
        <v>31131.326079999999</v>
      </c>
      <c r="L28" s="313"/>
      <c r="M28" s="314"/>
    </row>
    <row r="29" spans="1:19" ht="14.1" customHeight="1" thickTop="1" x14ac:dyDescent="0.2">
      <c r="A29" s="205"/>
      <c r="B29" s="316"/>
      <c r="C29" s="203"/>
      <c r="D29" s="203"/>
      <c r="E29" s="203"/>
      <c r="F29" s="203"/>
      <c r="G29" s="203"/>
      <c r="H29" s="203"/>
      <c r="I29" s="203"/>
      <c r="J29" s="203"/>
      <c r="K29" s="203"/>
      <c r="L29" s="313"/>
      <c r="M29" s="314"/>
    </row>
    <row r="30" spans="1:19" ht="14.1" customHeight="1" x14ac:dyDescent="0.2">
      <c r="A30" s="205"/>
      <c r="B30" s="316" t="str">
        <f>"Net book value at "&amp; TEXT(CurrentYearEnd, "d mmmm yyyy")</f>
        <v>Net book value at 31 March 2022</v>
      </c>
      <c r="C30" s="220">
        <f t="shared" ref="C30:J30" si="6">C16-C28</f>
        <v>26036.999899999999</v>
      </c>
      <c r="D30" s="220">
        <f t="shared" si="6"/>
        <v>45648.607279999997</v>
      </c>
      <c r="E30" s="220">
        <f t="shared" si="6"/>
        <v>0</v>
      </c>
      <c r="F30" s="220">
        <f t="shared" si="6"/>
        <v>11416.36096</v>
      </c>
      <c r="G30" s="220">
        <f t="shared" si="6"/>
        <v>18766.657159999999</v>
      </c>
      <c r="H30" s="220">
        <f t="shared" si="6"/>
        <v>0</v>
      </c>
      <c r="I30" s="220">
        <f t="shared" si="6"/>
        <v>2157.3495200000016</v>
      </c>
      <c r="J30" s="220">
        <f t="shared" si="6"/>
        <v>388.56487000000016</v>
      </c>
      <c r="K30" s="220">
        <f t="shared" ref="K30:K31" si="7">SUM(C30:J30)</f>
        <v>104414.53969000001</v>
      </c>
      <c r="L30" s="313"/>
      <c r="M30" s="314"/>
    </row>
    <row r="31" spans="1:19" ht="14.1" customHeight="1" x14ac:dyDescent="0.2">
      <c r="A31" s="205"/>
      <c r="B31" s="316" t="str">
        <f>"Net book value at "&amp; TEXT(CurrentYearStart,"d mmmm yyyy")</f>
        <v>Net book value at 1 April 2021</v>
      </c>
      <c r="C31" s="220">
        <f t="shared" ref="C31:J31" si="8">C6-C18</f>
        <v>23670.999899999999</v>
      </c>
      <c r="D31" s="220">
        <f t="shared" si="8"/>
        <v>44356.607279999997</v>
      </c>
      <c r="E31" s="220">
        <f t="shared" si="8"/>
        <v>0</v>
      </c>
      <c r="F31" s="220">
        <f t="shared" si="8"/>
        <v>8913.36096</v>
      </c>
      <c r="G31" s="220">
        <f t="shared" si="8"/>
        <v>16543.657159999999</v>
      </c>
      <c r="H31" s="220">
        <f t="shared" si="8"/>
        <v>0</v>
      </c>
      <c r="I31" s="220">
        <f t="shared" si="8"/>
        <v>2732.3495200000016</v>
      </c>
      <c r="J31" s="220">
        <f t="shared" si="8"/>
        <v>440.56487000000016</v>
      </c>
      <c r="K31" s="220">
        <f t="shared" si="7"/>
        <v>96657.539690000005</v>
      </c>
      <c r="L31" s="313"/>
      <c r="M31" s="314"/>
    </row>
    <row r="32" spans="1:19" ht="14.1" customHeight="1" x14ac:dyDescent="0.2">
      <c r="A32" s="205"/>
      <c r="B32" s="313"/>
      <c r="C32" s="171"/>
      <c r="D32" s="171"/>
      <c r="E32" s="171"/>
      <c r="F32" s="171"/>
      <c r="G32" s="171"/>
      <c r="H32" s="171"/>
      <c r="I32" s="171"/>
      <c r="J32" s="171"/>
      <c r="K32" s="171"/>
      <c r="L32" s="313"/>
      <c r="M32" s="314"/>
    </row>
    <row r="33" spans="1:13" ht="12" x14ac:dyDescent="0.2">
      <c r="A33" s="205"/>
      <c r="B33" s="313"/>
      <c r="C33" s="313"/>
      <c r="D33" s="313"/>
      <c r="E33" s="171"/>
      <c r="F33" s="171"/>
      <c r="G33" s="171"/>
      <c r="H33" s="171"/>
      <c r="I33" s="171"/>
      <c r="J33" s="171"/>
      <c r="K33" s="171"/>
      <c r="L33" s="313"/>
      <c r="M33" s="314"/>
    </row>
    <row r="34" spans="1:13" ht="14.1" customHeight="1" x14ac:dyDescent="0.2">
      <c r="A34" s="205">
        <f>A3+0.1</f>
        <v>17.200000000000003</v>
      </c>
      <c r="B34" s="289" t="str">
        <f>"Note "&amp; A34&amp; " Property, plant and equipment - " &amp; ComparativeFY</f>
        <v>Note 17.2 Property, plant and equipment - 2020/21</v>
      </c>
      <c r="C34" s="313"/>
      <c r="D34" s="313"/>
      <c r="E34" s="313"/>
      <c r="F34" s="313"/>
      <c r="G34" s="313"/>
      <c r="H34" s="313"/>
      <c r="I34" s="313"/>
      <c r="J34" s="313"/>
      <c r="K34" s="313"/>
      <c r="L34" s="313"/>
      <c r="M34" s="314"/>
    </row>
    <row r="35" spans="1:13" ht="38.25" customHeight="1" x14ac:dyDescent="0.2">
      <c r="B35" s="316" t="s">
        <v>94</v>
      </c>
      <c r="C35" s="290" t="s">
        <v>687</v>
      </c>
      <c r="D35" s="290" t="s">
        <v>964</v>
      </c>
      <c r="E35" s="290" t="s">
        <v>689</v>
      </c>
      <c r="F35" s="290" t="s">
        <v>965</v>
      </c>
      <c r="G35" s="290" t="s">
        <v>690</v>
      </c>
      <c r="H35" s="290" t="s">
        <v>691</v>
      </c>
      <c r="I35" s="290" t="s">
        <v>692</v>
      </c>
      <c r="J35" s="290" t="s">
        <v>693</v>
      </c>
      <c r="K35" s="290" t="s">
        <v>953</v>
      </c>
      <c r="L35" s="313"/>
      <c r="M35" s="314"/>
    </row>
    <row r="36" spans="1:13" ht="14.1" customHeight="1" x14ac:dyDescent="0.2">
      <c r="B36" s="316"/>
      <c r="C36" s="290" t="s">
        <v>590</v>
      </c>
      <c r="D36" s="290" t="s">
        <v>590</v>
      </c>
      <c r="E36" s="290" t="s">
        <v>502</v>
      </c>
      <c r="F36" s="290" t="s">
        <v>502</v>
      </c>
      <c r="G36" s="290" t="s">
        <v>502</v>
      </c>
      <c r="H36" s="290" t="s">
        <v>502</v>
      </c>
      <c r="I36" s="290" t="s">
        <v>502</v>
      </c>
      <c r="J36" s="290" t="s">
        <v>502</v>
      </c>
      <c r="K36" s="290" t="s">
        <v>590</v>
      </c>
      <c r="L36" s="313"/>
      <c r="M36" s="314"/>
    </row>
    <row r="37" spans="1:13" ht="24" customHeight="1" x14ac:dyDescent="0.2">
      <c r="B37" s="316" t="str">
        <f>"Valuation / gross cost at " &amp; TEXT(ComparativeYearStart, "d mmmm yyyy") &amp; " - as previously stated"</f>
        <v>Valuation / gross cost at 1 April 2020 - as previously stated</v>
      </c>
      <c r="C37" s="220">
        <f>+'PPE (group)'!C37</f>
        <v>21287.999899999999</v>
      </c>
      <c r="D37" s="220">
        <f>+'PPE (group)'!D37</f>
        <v>51538.80502</v>
      </c>
      <c r="E37" s="220">
        <f>+'PPE (group)'!E37</f>
        <v>0</v>
      </c>
      <c r="F37" s="220">
        <f>+'PPE (group)'!F37</f>
        <v>5212.36096</v>
      </c>
      <c r="G37" s="220">
        <f>+'PPE (group)'!G37</f>
        <v>35862.724159999998</v>
      </c>
      <c r="H37" s="220">
        <f>+'PPE (group)'!H37</f>
        <v>5.2107000000000001</v>
      </c>
      <c r="I37" s="220">
        <f>+'PPE (group)'!I37</f>
        <v>12831.665000000001</v>
      </c>
      <c r="J37" s="220">
        <f>+'PPE (group)'!J37</f>
        <v>2027.1000300000001</v>
      </c>
      <c r="K37" s="220">
        <f t="shared" ref="K37:K38" si="9">SUM(C37:J37)</f>
        <v>128765.86577</v>
      </c>
      <c r="L37" s="313"/>
      <c r="M37" s="314"/>
    </row>
    <row r="38" spans="1:13" ht="14.1" hidden="1" customHeight="1" x14ac:dyDescent="0.2">
      <c r="B38" s="327" t="s">
        <v>542</v>
      </c>
      <c r="C38" s="220">
        <f>+'PPE (group)'!C38</f>
        <v>0</v>
      </c>
      <c r="D38" s="220">
        <f>+'PPE (group)'!D38</f>
        <v>0</v>
      </c>
      <c r="E38" s="220">
        <f>+'PPE (group)'!E38</f>
        <v>0</v>
      </c>
      <c r="F38" s="220">
        <f>+'PPE (group)'!F38</f>
        <v>0</v>
      </c>
      <c r="G38" s="220">
        <f>+'PPE (group)'!G38</f>
        <v>0</v>
      </c>
      <c r="H38" s="220">
        <f>+'PPE (group)'!H38</f>
        <v>0</v>
      </c>
      <c r="I38" s="220">
        <f>+'PPE (group)'!I38</f>
        <v>0</v>
      </c>
      <c r="J38" s="220">
        <f>+'PPE (group)'!J38</f>
        <v>0</v>
      </c>
      <c r="K38" s="220">
        <f t="shared" si="9"/>
        <v>0</v>
      </c>
      <c r="L38" s="313"/>
      <c r="M38" s="314"/>
    </row>
    <row r="39" spans="1:13" ht="13.7" hidden="1" customHeight="1" x14ac:dyDescent="0.2">
      <c r="B39" s="316" t="str">
        <f>"Valuation / gross cost at " &amp; TEXT(ComparativeYearStart, "d mmmm yyyy") &amp; " - restated"</f>
        <v>Valuation / gross cost at 1 April 2020 - restated</v>
      </c>
      <c r="C39" s="207">
        <f>SUM(C37:C38)</f>
        <v>21287.999899999999</v>
      </c>
      <c r="D39" s="207">
        <f t="shared" ref="D39:K39" si="10">SUM(D37:D38)</f>
        <v>51538.80502</v>
      </c>
      <c r="E39" s="207">
        <f t="shared" si="10"/>
        <v>0</v>
      </c>
      <c r="F39" s="207">
        <f t="shared" si="10"/>
        <v>5212.36096</v>
      </c>
      <c r="G39" s="207">
        <f t="shared" si="10"/>
        <v>35862.724159999998</v>
      </c>
      <c r="H39" s="207">
        <f t="shared" si="10"/>
        <v>5.2107000000000001</v>
      </c>
      <c r="I39" s="207">
        <f t="shared" si="10"/>
        <v>12831.665000000001</v>
      </c>
      <c r="J39" s="207">
        <f t="shared" si="10"/>
        <v>2027.1000300000001</v>
      </c>
      <c r="K39" s="207">
        <f t="shared" si="10"/>
        <v>128765.86577</v>
      </c>
      <c r="L39" s="173"/>
      <c r="M39" s="314"/>
    </row>
    <row r="40" spans="1:13" ht="13.7" hidden="1" customHeight="1" x14ac:dyDescent="0.2">
      <c r="B40" s="316" t="s">
        <v>969</v>
      </c>
      <c r="C40" s="220"/>
      <c r="D40" s="220"/>
      <c r="E40" s="220"/>
      <c r="F40" s="220"/>
      <c r="G40" s="220"/>
      <c r="H40" s="220"/>
      <c r="I40" s="220"/>
      <c r="J40" s="220"/>
      <c r="K40" s="220">
        <f t="shared" ref="K40:K48" si="11">SUM(C40:J40)</f>
        <v>0</v>
      </c>
      <c r="L40" s="313"/>
      <c r="M40" s="270" t="s">
        <v>592</v>
      </c>
    </row>
    <row r="41" spans="1:13" ht="14.1" hidden="1" customHeight="1" x14ac:dyDescent="0.2">
      <c r="B41" s="327" t="s">
        <v>962</v>
      </c>
      <c r="C41" s="220">
        <f>+'PPE (group)'!C41</f>
        <v>0</v>
      </c>
      <c r="D41" s="220">
        <f>+'PPE (group)'!D41</f>
        <v>0</v>
      </c>
      <c r="E41" s="220">
        <f>+'PPE (group)'!E41</f>
        <v>0</v>
      </c>
      <c r="F41" s="220">
        <f>+'PPE (group)'!F41</f>
        <v>0</v>
      </c>
      <c r="G41" s="220">
        <f>+'PPE (group)'!G41</f>
        <v>0</v>
      </c>
      <c r="H41" s="220">
        <f>+'PPE (group)'!H41</f>
        <v>0</v>
      </c>
      <c r="I41" s="220">
        <f>+'PPE (group)'!I41</f>
        <v>0</v>
      </c>
      <c r="J41" s="220">
        <f>+'PPE (group)'!J41</f>
        <v>0</v>
      </c>
      <c r="K41" s="220">
        <f t="shared" si="11"/>
        <v>0</v>
      </c>
      <c r="L41" s="313"/>
      <c r="M41" s="314"/>
    </row>
    <row r="42" spans="1:13" ht="14.1" customHeight="1" x14ac:dyDescent="0.2">
      <c r="B42" s="183" t="s">
        <v>956</v>
      </c>
      <c r="C42" s="220">
        <f>+'PPE (group)'!C42</f>
        <v>0</v>
      </c>
      <c r="D42" s="220">
        <f>+'PPE (group)'!D42-158</f>
        <v>1705</v>
      </c>
      <c r="E42" s="220">
        <f>+'PPE (group)'!E42</f>
        <v>0</v>
      </c>
      <c r="F42" s="220">
        <f>+'PPE (group)'!F42</f>
        <v>3741</v>
      </c>
      <c r="G42" s="220">
        <f>+'PPE (group)'!G42-88</f>
        <v>7579</v>
      </c>
      <c r="H42" s="220">
        <f>+'PPE (group)'!H42</f>
        <v>0</v>
      </c>
      <c r="I42" s="220">
        <f>+'PPE (group)'!I42-22</f>
        <v>1213</v>
      </c>
      <c r="J42" s="220">
        <f>+'PPE (group)'!J42-7</f>
        <v>229</v>
      </c>
      <c r="K42" s="220">
        <f t="shared" si="11"/>
        <v>14467</v>
      </c>
      <c r="L42" s="313"/>
      <c r="M42" s="314"/>
    </row>
    <row r="43" spans="1:13" ht="14.1" customHeight="1" x14ac:dyDescent="0.2">
      <c r="B43" s="327" t="s">
        <v>597</v>
      </c>
      <c r="C43" s="220">
        <f>+'PPE (group)'!C43</f>
        <v>0</v>
      </c>
      <c r="D43" s="220">
        <f>+'PPE (group)'!D43</f>
        <v>-5887</v>
      </c>
      <c r="E43" s="220">
        <f>+'PPE (group)'!E43</f>
        <v>0</v>
      </c>
      <c r="F43" s="220">
        <f>+'PPE (group)'!F43</f>
        <v>0</v>
      </c>
      <c r="G43" s="220">
        <f>+'PPE (group)'!G43</f>
        <v>0</v>
      </c>
      <c r="H43" s="220">
        <f>+'PPE (group)'!H43</f>
        <v>0</v>
      </c>
      <c r="I43" s="220">
        <f>+'PPE (group)'!I43</f>
        <v>0</v>
      </c>
      <c r="J43" s="220">
        <f>+'PPE (group)'!J43</f>
        <v>0</v>
      </c>
      <c r="K43" s="220">
        <f t="shared" si="11"/>
        <v>-5887</v>
      </c>
      <c r="L43" s="313"/>
      <c r="M43" s="314"/>
    </row>
    <row r="44" spans="1:13" ht="14.1" customHeight="1" x14ac:dyDescent="0.2">
      <c r="B44" s="327" t="s">
        <v>957</v>
      </c>
      <c r="C44" s="220">
        <f>+'PPE (group)'!C44</f>
        <v>671</v>
      </c>
      <c r="D44" s="220">
        <f>+'PPE (group)'!D44</f>
        <v>0</v>
      </c>
      <c r="E44" s="220">
        <f>+'PPE (group)'!E44</f>
        <v>0</v>
      </c>
      <c r="F44" s="220">
        <f>+'PPE (group)'!F44</f>
        <v>0</v>
      </c>
      <c r="G44" s="220">
        <f>+'PPE (group)'!G44</f>
        <v>0</v>
      </c>
      <c r="H44" s="220">
        <f>+'PPE (group)'!H44</f>
        <v>0</v>
      </c>
      <c r="I44" s="220">
        <f>+'PPE (group)'!I44</f>
        <v>0</v>
      </c>
      <c r="J44" s="220">
        <f>+'PPE (group)'!J44</f>
        <v>0</v>
      </c>
      <c r="K44" s="220">
        <f t="shared" si="11"/>
        <v>671</v>
      </c>
      <c r="L44" s="313"/>
      <c r="M44" s="314"/>
    </row>
    <row r="45" spans="1:13" ht="14.1" customHeight="1" x14ac:dyDescent="0.2">
      <c r="B45" s="327" t="s">
        <v>958</v>
      </c>
      <c r="C45" s="220">
        <f>+'PPE (group)'!C45</f>
        <v>1712</v>
      </c>
      <c r="D45" s="220">
        <f>+'PPE (group)'!D45</f>
        <v>0</v>
      </c>
      <c r="E45" s="220">
        <f>+'PPE (group)'!E45</f>
        <v>0</v>
      </c>
      <c r="F45" s="220">
        <f>+'PPE (group)'!F45</f>
        <v>0</v>
      </c>
      <c r="G45" s="220">
        <f>+'PPE (group)'!G45</f>
        <v>0</v>
      </c>
      <c r="H45" s="220">
        <f>+'PPE (group)'!H45</f>
        <v>0</v>
      </c>
      <c r="I45" s="220">
        <f>+'PPE (group)'!I45</f>
        <v>0</v>
      </c>
      <c r="J45" s="220">
        <f>+'PPE (group)'!J45</f>
        <v>0</v>
      </c>
      <c r="K45" s="220">
        <f t="shared" si="11"/>
        <v>1712</v>
      </c>
      <c r="L45" s="313"/>
      <c r="M45" s="314"/>
    </row>
    <row r="46" spans="1:13" ht="14.1" hidden="1" customHeight="1" x14ac:dyDescent="0.2">
      <c r="B46" s="327" t="s">
        <v>959</v>
      </c>
      <c r="C46" s="220">
        <f>+'PPE (group)'!C46</f>
        <v>0</v>
      </c>
      <c r="D46" s="220">
        <f>+'PPE (group)'!D46</f>
        <v>0</v>
      </c>
      <c r="E46" s="220">
        <f>+'PPE (group)'!E46</f>
        <v>0</v>
      </c>
      <c r="F46" s="220">
        <f>+'PPE (group)'!F46</f>
        <v>0</v>
      </c>
      <c r="G46" s="220">
        <f>+'PPE (group)'!G46</f>
        <v>0</v>
      </c>
      <c r="H46" s="220">
        <f>+'PPE (group)'!H46</f>
        <v>0</v>
      </c>
      <c r="I46" s="220">
        <f>+'PPE (group)'!I46</f>
        <v>0</v>
      </c>
      <c r="J46" s="220">
        <f>+'PPE (group)'!J46</f>
        <v>0</v>
      </c>
      <c r="K46" s="220">
        <f t="shared" si="11"/>
        <v>0</v>
      </c>
      <c r="L46" s="313"/>
      <c r="M46" s="314"/>
    </row>
    <row r="47" spans="1:13" ht="13.7" customHeight="1" x14ac:dyDescent="0.2">
      <c r="B47" s="426" t="s">
        <v>1425</v>
      </c>
      <c r="C47" s="220">
        <f>+'PPE (group)'!C47</f>
        <v>0</v>
      </c>
      <c r="D47" s="220">
        <f>+'PPE (group)'!D47</f>
        <v>-236</v>
      </c>
      <c r="E47" s="220">
        <f>+'PPE (group)'!E47</f>
        <v>0</v>
      </c>
      <c r="F47" s="220">
        <f>+'PPE (group)'!F47</f>
        <v>-40</v>
      </c>
      <c r="G47" s="220">
        <f>+'PPE (group)'!G47</f>
        <v>-358</v>
      </c>
      <c r="H47" s="220">
        <f>+'PPE (group)'!H47</f>
        <v>0</v>
      </c>
      <c r="I47" s="220">
        <f>+'PPE (group)'!I47</f>
        <v>-117</v>
      </c>
      <c r="J47" s="220">
        <f>+'PPE (group)'!J47</f>
        <v>-29</v>
      </c>
      <c r="K47" s="220">
        <f t="shared" si="11"/>
        <v>-780</v>
      </c>
      <c r="L47" s="313"/>
      <c r="M47" s="314"/>
    </row>
    <row r="48" spans="1:13" ht="14.1" customHeight="1" x14ac:dyDescent="0.2">
      <c r="B48" s="327" t="s">
        <v>982</v>
      </c>
      <c r="C48" s="220">
        <f>+'PPE (group)'!C48</f>
        <v>0</v>
      </c>
      <c r="D48" s="220">
        <f>+'PPE (group)'!D48</f>
        <v>-61</v>
      </c>
      <c r="E48" s="220">
        <f>+'PPE (group)'!E48</f>
        <v>0</v>
      </c>
      <c r="F48" s="220">
        <f>+'PPE (group)'!F48</f>
        <v>0</v>
      </c>
      <c r="G48" s="220">
        <f>+'PPE (group)'!G48</f>
        <v>-1653</v>
      </c>
      <c r="H48" s="220">
        <f>+'PPE (group)'!H48</f>
        <v>0</v>
      </c>
      <c r="I48" s="220">
        <f>+'PPE (group)'!I48</f>
        <v>-14</v>
      </c>
      <c r="J48" s="220">
        <f>+'PPE (group)'!J48</f>
        <v>-8</v>
      </c>
      <c r="K48" s="220">
        <f t="shared" si="11"/>
        <v>-1736</v>
      </c>
      <c r="L48" s="313"/>
      <c r="M48" s="314"/>
    </row>
    <row r="49" spans="2:13" ht="14.1" customHeight="1" thickBot="1" x14ac:dyDescent="0.25">
      <c r="B49" s="289" t="str">
        <f>"Valuation/gross cost at " &amp; TEXT(ComparativeYearEnd, "d mmmm yyyy")</f>
        <v>Valuation/gross cost at 31 March 2021</v>
      </c>
      <c r="C49" s="206">
        <f t="shared" ref="C49:K49" si="12">SUM(C39:C48)</f>
        <v>23670.999899999999</v>
      </c>
      <c r="D49" s="206">
        <f t="shared" si="12"/>
        <v>47059.80502</v>
      </c>
      <c r="E49" s="206">
        <f t="shared" si="12"/>
        <v>0</v>
      </c>
      <c r="F49" s="206">
        <f t="shared" si="12"/>
        <v>8913.36096</v>
      </c>
      <c r="G49" s="206">
        <f t="shared" si="12"/>
        <v>41430.724159999998</v>
      </c>
      <c r="H49" s="206">
        <f t="shared" si="12"/>
        <v>5.2107000000000001</v>
      </c>
      <c r="I49" s="206">
        <f t="shared" si="12"/>
        <v>13913.665000000001</v>
      </c>
      <c r="J49" s="206">
        <f t="shared" si="12"/>
        <v>2219.1000300000001</v>
      </c>
      <c r="K49" s="206">
        <f t="shared" si="12"/>
        <v>137212.86577</v>
      </c>
      <c r="L49" s="313"/>
      <c r="M49" s="314"/>
    </row>
    <row r="50" spans="2:13" ht="11.25" customHeight="1" thickTop="1" x14ac:dyDescent="0.2">
      <c r="B50" s="316"/>
      <c r="C50" s="199"/>
      <c r="D50" s="199"/>
      <c r="E50" s="199"/>
      <c r="F50" s="199"/>
      <c r="G50" s="199"/>
      <c r="H50" s="199"/>
      <c r="I50" s="199"/>
      <c r="J50" s="199"/>
      <c r="K50" s="199"/>
      <c r="L50" s="313"/>
      <c r="M50" s="314"/>
    </row>
    <row r="51" spans="2:13" ht="24.75" customHeight="1" x14ac:dyDescent="0.2">
      <c r="B51" s="316" t="str">
        <f>"Accumulated depreciation at " &amp; TEXT(ComparativeYearStart, "d mmmm yyyy") &amp; " - as previously stated"</f>
        <v>Accumulated depreciation at 1 April 2020 - as previously stated</v>
      </c>
      <c r="C51" s="220">
        <f>+'PPE (group)'!C51</f>
        <v>0</v>
      </c>
      <c r="D51" s="220">
        <f>+'PPE (group)'!D51</f>
        <v>2660.1977400000001</v>
      </c>
      <c r="E51" s="220">
        <f>+'PPE (group)'!E51</f>
        <v>0</v>
      </c>
      <c r="F51" s="220">
        <f>+'PPE (group)'!F51</f>
        <v>0</v>
      </c>
      <c r="G51" s="220">
        <f>+'PPE (group)'!G51</f>
        <v>24163.066999999999</v>
      </c>
      <c r="H51" s="220">
        <f>+'PPE (group)'!H51</f>
        <v>5.2107000000000001</v>
      </c>
      <c r="I51" s="220">
        <f>+'PPE (group)'!I51</f>
        <v>10218.315479999999</v>
      </c>
      <c r="J51" s="220">
        <f>+'PPE (group)'!J51</f>
        <v>1692.5351599999999</v>
      </c>
      <c r="K51" s="220">
        <f t="shared" ref="K51:K52" si="13">SUM(C51:J51)</f>
        <v>38739.326079999999</v>
      </c>
      <c r="L51" s="313"/>
      <c r="M51" s="314"/>
    </row>
    <row r="52" spans="2:13" ht="14.1" hidden="1" customHeight="1" x14ac:dyDescent="0.2">
      <c r="B52" s="327" t="s">
        <v>542</v>
      </c>
      <c r="C52" s="220">
        <f>+'PPE (group)'!C52</f>
        <v>0</v>
      </c>
      <c r="D52" s="220">
        <f>+'PPE (group)'!D52</f>
        <v>0</v>
      </c>
      <c r="E52" s="220">
        <f>+'PPE (group)'!E52</f>
        <v>0</v>
      </c>
      <c r="F52" s="220">
        <f>+'PPE (group)'!F52</f>
        <v>0</v>
      </c>
      <c r="G52" s="220">
        <f>+'PPE (group)'!G52</f>
        <v>0</v>
      </c>
      <c r="H52" s="220">
        <f>+'PPE (group)'!H52</f>
        <v>0</v>
      </c>
      <c r="I52" s="220">
        <f>+'PPE (group)'!I52</f>
        <v>0</v>
      </c>
      <c r="J52" s="220">
        <f>+'PPE (group)'!J52</f>
        <v>0</v>
      </c>
      <c r="K52" s="220">
        <f t="shared" si="13"/>
        <v>0</v>
      </c>
      <c r="L52" s="313"/>
      <c r="M52" s="314"/>
    </row>
    <row r="53" spans="2:13" ht="13.7" hidden="1" customHeight="1" x14ac:dyDescent="0.2">
      <c r="B53" s="289" t="str">
        <f>"Accumulated depreciation at " &amp; TEXT(ComparativeYearStart, "d mmmm yyyy") &amp; " - restated"</f>
        <v>Accumulated depreciation at 1 April 2020 - restated</v>
      </c>
      <c r="C53" s="207">
        <f>SUM(C51:C52)</f>
        <v>0</v>
      </c>
      <c r="D53" s="207">
        <f t="shared" ref="D53:J53" si="14">SUM(D51:D52)</f>
        <v>2660.1977400000001</v>
      </c>
      <c r="E53" s="207">
        <f t="shared" si="14"/>
        <v>0</v>
      </c>
      <c r="F53" s="207">
        <f t="shared" si="14"/>
        <v>0</v>
      </c>
      <c r="G53" s="207">
        <f t="shared" si="14"/>
        <v>24163.066999999999</v>
      </c>
      <c r="H53" s="207">
        <f t="shared" si="14"/>
        <v>5.2107000000000001</v>
      </c>
      <c r="I53" s="207">
        <f t="shared" si="14"/>
        <v>10218.315479999999</v>
      </c>
      <c r="J53" s="207">
        <f t="shared" si="14"/>
        <v>1692.5351599999999</v>
      </c>
      <c r="K53" s="207">
        <f>SUM(K51:K52)</f>
        <v>38739.326079999999</v>
      </c>
      <c r="L53" s="313"/>
      <c r="M53" s="314"/>
    </row>
    <row r="54" spans="2:13" ht="14.1" hidden="1" customHeight="1" x14ac:dyDescent="0.2">
      <c r="B54" s="316" t="s">
        <v>968</v>
      </c>
      <c r="C54" s="220"/>
      <c r="D54" s="220"/>
      <c r="E54" s="220"/>
      <c r="F54" s="220"/>
      <c r="G54" s="220"/>
      <c r="H54" s="220"/>
      <c r="I54" s="220"/>
      <c r="J54" s="220"/>
      <c r="K54" s="220">
        <f t="shared" ref="K54:K62" si="15">SUM(C54:J54)</f>
        <v>0</v>
      </c>
      <c r="L54" s="313"/>
      <c r="M54" s="270" t="s">
        <v>592</v>
      </c>
    </row>
    <row r="55" spans="2:13" ht="14.1" hidden="1" customHeight="1" x14ac:dyDescent="0.2">
      <c r="B55" s="327" t="s">
        <v>955</v>
      </c>
      <c r="C55" s="220">
        <f>+'PPE (group)'!C55</f>
        <v>0</v>
      </c>
      <c r="D55" s="220">
        <f>+'PPE (group)'!D55</f>
        <v>0</v>
      </c>
      <c r="E55" s="220">
        <f>+'PPE (group)'!E55</f>
        <v>0</v>
      </c>
      <c r="F55" s="220">
        <f>+'PPE (group)'!F55</f>
        <v>0</v>
      </c>
      <c r="G55" s="220">
        <f>+'PPE (group)'!G55</f>
        <v>0</v>
      </c>
      <c r="H55" s="220">
        <f>+'PPE (group)'!H55</f>
        <v>0</v>
      </c>
      <c r="I55" s="220">
        <f>+'PPE (group)'!I55</f>
        <v>0</v>
      </c>
      <c r="J55" s="220">
        <f>+'PPE (group)'!J55</f>
        <v>0</v>
      </c>
      <c r="K55" s="220">
        <f t="shared" si="15"/>
        <v>0</v>
      </c>
      <c r="L55" s="313"/>
      <c r="M55" s="314"/>
    </row>
    <row r="56" spans="2:13" ht="14.1" customHeight="1" x14ac:dyDescent="0.2">
      <c r="B56" s="327" t="s">
        <v>963</v>
      </c>
      <c r="C56" s="220">
        <f>+'PPE (group)'!C56</f>
        <v>0</v>
      </c>
      <c r="D56" s="220">
        <f>+'PPE (group)'!D56-12</f>
        <v>2901</v>
      </c>
      <c r="E56" s="220">
        <f>+'PPE (group)'!E56</f>
        <v>0</v>
      </c>
      <c r="F56" s="220">
        <f>+'PPE (group)'!F56</f>
        <v>0</v>
      </c>
      <c r="G56" s="220">
        <f>+'PPE (group)'!G56-22</f>
        <v>2691</v>
      </c>
      <c r="H56" s="220">
        <f>+'PPE (group)'!H56</f>
        <v>0</v>
      </c>
      <c r="I56" s="220">
        <f>+'PPE (group)'!I56-3</f>
        <v>1074</v>
      </c>
      <c r="J56" s="220">
        <f>+'PPE (group)'!J56-2</f>
        <v>94</v>
      </c>
      <c r="K56" s="220">
        <f t="shared" si="15"/>
        <v>6760</v>
      </c>
      <c r="L56" s="313"/>
      <c r="M56" s="314"/>
    </row>
    <row r="57" spans="2:13" ht="14.1" customHeight="1" x14ac:dyDescent="0.2">
      <c r="B57" s="327" t="s">
        <v>597</v>
      </c>
      <c r="C57" s="220">
        <f>+'PPE (group)'!C57</f>
        <v>0</v>
      </c>
      <c r="D57" s="220">
        <f>+'PPE (group)'!D57</f>
        <v>-2603</v>
      </c>
      <c r="E57" s="220">
        <f>+'PPE (group)'!E57</f>
        <v>0</v>
      </c>
      <c r="F57" s="220">
        <f>+'PPE (group)'!F57</f>
        <v>0</v>
      </c>
      <c r="G57" s="220">
        <f>+'PPE (group)'!G57</f>
        <v>0</v>
      </c>
      <c r="H57" s="220">
        <f>+'PPE (group)'!H57</f>
        <v>0</v>
      </c>
      <c r="I57" s="220">
        <f>+'PPE (group)'!I57</f>
        <v>0</v>
      </c>
      <c r="J57" s="220">
        <f>+'PPE (group)'!J57</f>
        <v>0</v>
      </c>
      <c r="K57" s="220">
        <f t="shared" si="15"/>
        <v>-2603</v>
      </c>
      <c r="L57" s="313"/>
      <c r="M57" s="314"/>
    </row>
    <row r="58" spans="2:13" ht="14.1" hidden="1" customHeight="1" x14ac:dyDescent="0.2">
      <c r="B58" s="327" t="s">
        <v>957</v>
      </c>
      <c r="C58" s="220">
        <f>+'PPE (group)'!C58</f>
        <v>0</v>
      </c>
      <c r="D58" s="220">
        <f>+'PPE (group)'!D58</f>
        <v>0</v>
      </c>
      <c r="E58" s="220">
        <f>+'PPE (group)'!E58</f>
        <v>0</v>
      </c>
      <c r="F58" s="220">
        <f>+'PPE (group)'!F58</f>
        <v>0</v>
      </c>
      <c r="G58" s="220">
        <f>+'PPE (group)'!G58</f>
        <v>0</v>
      </c>
      <c r="H58" s="220">
        <f>+'PPE (group)'!H58</f>
        <v>0</v>
      </c>
      <c r="I58" s="220">
        <f>+'PPE (group)'!I58</f>
        <v>0</v>
      </c>
      <c r="J58" s="220">
        <f>+'PPE (group)'!J58</f>
        <v>0</v>
      </c>
      <c r="K58" s="220">
        <f t="shared" si="15"/>
        <v>0</v>
      </c>
      <c r="L58" s="313"/>
      <c r="M58" s="314"/>
    </row>
    <row r="59" spans="2:13" ht="14.1" hidden="1" customHeight="1" x14ac:dyDescent="0.2">
      <c r="B59" s="327" t="s">
        <v>958</v>
      </c>
      <c r="C59" s="220">
        <f>+'PPE (group)'!C59</f>
        <v>0</v>
      </c>
      <c r="D59" s="220">
        <f>+'PPE (group)'!D59</f>
        <v>0</v>
      </c>
      <c r="E59" s="220">
        <f>+'PPE (group)'!E59</f>
        <v>0</v>
      </c>
      <c r="F59" s="220">
        <f>+'PPE (group)'!F59</f>
        <v>0</v>
      </c>
      <c r="G59" s="220">
        <f>+'PPE (group)'!G59</f>
        <v>0</v>
      </c>
      <c r="H59" s="220">
        <f>+'PPE (group)'!H59</f>
        <v>0</v>
      </c>
      <c r="I59" s="220">
        <f>+'PPE (group)'!I59</f>
        <v>0</v>
      </c>
      <c r="J59" s="220">
        <f>+'PPE (group)'!J59</f>
        <v>0</v>
      </c>
      <c r="K59" s="220">
        <f t="shared" si="15"/>
        <v>0</v>
      </c>
      <c r="L59" s="313"/>
      <c r="M59" s="314"/>
    </row>
    <row r="60" spans="2:13" ht="14.1" hidden="1" customHeight="1" x14ac:dyDescent="0.2">
      <c r="B60" s="327" t="s">
        <v>959</v>
      </c>
      <c r="C60" s="220">
        <f>+'PPE (group)'!C60</f>
        <v>0</v>
      </c>
      <c r="D60" s="220">
        <f>+'PPE (group)'!D60</f>
        <v>0</v>
      </c>
      <c r="E60" s="220">
        <f>+'PPE (group)'!E60</f>
        <v>0</v>
      </c>
      <c r="F60" s="220">
        <f>+'PPE (group)'!F60</f>
        <v>0</v>
      </c>
      <c r="G60" s="220">
        <f>+'PPE (group)'!G60</f>
        <v>0</v>
      </c>
      <c r="H60" s="220">
        <f>+'PPE (group)'!H60</f>
        <v>0</v>
      </c>
      <c r="I60" s="220">
        <f>+'PPE (group)'!I60</f>
        <v>0</v>
      </c>
      <c r="J60" s="220">
        <f>+'PPE (group)'!J60</f>
        <v>0</v>
      </c>
      <c r="K60" s="220">
        <f t="shared" si="15"/>
        <v>0</v>
      </c>
      <c r="L60" s="313"/>
      <c r="M60" s="314"/>
    </row>
    <row r="61" spans="2:13" ht="13.7" customHeight="1" x14ac:dyDescent="0.2">
      <c r="B61" s="426" t="s">
        <v>1425</v>
      </c>
      <c r="C61" s="220">
        <f>+'PPE (group)'!C61</f>
        <v>0</v>
      </c>
      <c r="D61" s="220">
        <f>+'PPE (group)'!D61</f>
        <v>-194</v>
      </c>
      <c r="E61" s="220">
        <f>+'PPE (group)'!E61</f>
        <v>0</v>
      </c>
      <c r="F61" s="220">
        <f>+'PPE (group)'!F61</f>
        <v>0</v>
      </c>
      <c r="G61" s="220">
        <f>+'PPE (group)'!G61</f>
        <v>-322</v>
      </c>
      <c r="H61" s="220">
        <f>+'PPE (group)'!H61</f>
        <v>0</v>
      </c>
      <c r="I61" s="220">
        <f>+'PPE (group)'!I61</f>
        <v>-103</v>
      </c>
      <c r="J61" s="220">
        <f>+'PPE (group)'!J61</f>
        <v>-1</v>
      </c>
      <c r="K61" s="220">
        <f t="shared" si="15"/>
        <v>-620</v>
      </c>
      <c r="L61" s="313"/>
      <c r="M61" s="314"/>
    </row>
    <row r="62" spans="2:13" ht="14.1" customHeight="1" x14ac:dyDescent="0.2">
      <c r="B62" s="327" t="s">
        <v>1446</v>
      </c>
      <c r="C62" s="220">
        <f>+'PPE (group)'!C62</f>
        <v>0</v>
      </c>
      <c r="D62" s="220">
        <f>+'PPE (group)'!D62</f>
        <v>-61</v>
      </c>
      <c r="E62" s="220">
        <f>+'PPE (group)'!E62</f>
        <v>0</v>
      </c>
      <c r="F62" s="220">
        <f>+'PPE (group)'!F62</f>
        <v>0</v>
      </c>
      <c r="G62" s="220">
        <f>+'PPE (group)'!G62</f>
        <v>-1645</v>
      </c>
      <c r="H62" s="220">
        <f>+'PPE (group)'!H62</f>
        <v>0</v>
      </c>
      <c r="I62" s="220">
        <f>+'PPE (group)'!I62</f>
        <v>-8</v>
      </c>
      <c r="J62" s="220">
        <f>+'PPE (group)'!J62</f>
        <v>-7</v>
      </c>
      <c r="K62" s="220">
        <f t="shared" si="15"/>
        <v>-1721</v>
      </c>
      <c r="L62" s="313"/>
      <c r="M62" s="314"/>
    </row>
    <row r="63" spans="2:13" ht="14.1" customHeight="1" thickBot="1" x14ac:dyDescent="0.25">
      <c r="B63" s="289" t="str">
        <f>"Accumulated depreciation at " &amp; TEXT(ComparativeYearEnd, "d mmmm yyyy")</f>
        <v>Accumulated depreciation at 31 March 2021</v>
      </c>
      <c r="C63" s="206">
        <f t="shared" ref="C63:K63" si="16">SUM(C53:C62)</f>
        <v>0</v>
      </c>
      <c r="D63" s="206">
        <f t="shared" si="16"/>
        <v>2703.1977399999996</v>
      </c>
      <c r="E63" s="206">
        <f t="shared" si="16"/>
        <v>0</v>
      </c>
      <c r="F63" s="206">
        <f t="shared" si="16"/>
        <v>0</v>
      </c>
      <c r="G63" s="206">
        <f t="shared" si="16"/>
        <v>24887.066999999999</v>
      </c>
      <c r="H63" s="206">
        <f t="shared" si="16"/>
        <v>5.2107000000000001</v>
      </c>
      <c r="I63" s="206">
        <f t="shared" si="16"/>
        <v>11181.315479999999</v>
      </c>
      <c r="J63" s="206">
        <f t="shared" si="16"/>
        <v>1778.5351599999999</v>
      </c>
      <c r="K63" s="206">
        <f t="shared" si="16"/>
        <v>40555.326079999999</v>
      </c>
      <c r="L63" s="313"/>
      <c r="M63" s="314"/>
    </row>
    <row r="64" spans="2:13" ht="10.5" customHeight="1" thickTop="1" x14ac:dyDescent="0.2">
      <c r="B64" s="316"/>
      <c r="C64" s="313"/>
      <c r="D64" s="313"/>
      <c r="E64" s="313"/>
      <c r="F64" s="313"/>
      <c r="G64" s="313"/>
      <c r="H64" s="313"/>
      <c r="I64" s="313"/>
      <c r="J64" s="313"/>
      <c r="K64" s="313"/>
      <c r="L64" s="313"/>
      <c r="M64" s="314"/>
    </row>
    <row r="65" spans="2:13" ht="14.1" customHeight="1" x14ac:dyDescent="0.2">
      <c r="B65" s="316" t="str">
        <f>"Net book value at "&amp; TEXT(ComparativeYearEnd, "d mmmm yyyy")</f>
        <v>Net book value at 31 March 2021</v>
      </c>
      <c r="C65" s="220">
        <f t="shared" ref="C65:K65" si="17">C49-C63</f>
        <v>23670.999899999999</v>
      </c>
      <c r="D65" s="220">
        <f t="shared" si="17"/>
        <v>44356.607279999997</v>
      </c>
      <c r="E65" s="220">
        <f t="shared" si="17"/>
        <v>0</v>
      </c>
      <c r="F65" s="220">
        <f t="shared" si="17"/>
        <v>8913.36096</v>
      </c>
      <c r="G65" s="220">
        <f t="shared" si="17"/>
        <v>16543.657159999999</v>
      </c>
      <c r="H65" s="220">
        <f t="shared" si="17"/>
        <v>0</v>
      </c>
      <c r="I65" s="220">
        <f t="shared" si="17"/>
        <v>2732.3495200000016</v>
      </c>
      <c r="J65" s="220">
        <f t="shared" si="17"/>
        <v>440.56487000000016</v>
      </c>
      <c r="K65" s="220">
        <f t="shared" si="17"/>
        <v>96657.539690000005</v>
      </c>
      <c r="L65" s="171"/>
      <c r="M65" s="314"/>
    </row>
    <row r="66" spans="2:13" ht="14.1" customHeight="1" x14ac:dyDescent="0.2">
      <c r="B66" s="316" t="str">
        <f>"Net book value at "&amp; TEXT(ComparativeYearStart, "d mmmm yyyy")</f>
        <v>Net book value at 1 April 2020</v>
      </c>
      <c r="C66" s="220">
        <f t="shared" ref="C66:K66" si="18">C39-C53</f>
        <v>21287.999899999999</v>
      </c>
      <c r="D66" s="220">
        <f t="shared" si="18"/>
        <v>48878.607279999997</v>
      </c>
      <c r="E66" s="220">
        <f t="shared" si="18"/>
        <v>0</v>
      </c>
      <c r="F66" s="220">
        <f t="shared" si="18"/>
        <v>5212.36096</v>
      </c>
      <c r="G66" s="220">
        <f t="shared" si="18"/>
        <v>11699.657159999999</v>
      </c>
      <c r="H66" s="220">
        <f t="shared" si="18"/>
        <v>0</v>
      </c>
      <c r="I66" s="220">
        <f t="shared" si="18"/>
        <v>2613.3495200000016</v>
      </c>
      <c r="J66" s="220">
        <f t="shared" si="18"/>
        <v>334.56487000000016</v>
      </c>
      <c r="K66" s="220">
        <f t="shared" si="18"/>
        <v>90026.539690000005</v>
      </c>
      <c r="L66" s="171"/>
      <c r="M66" s="314"/>
    </row>
    <row r="67" spans="2:13" ht="14.1" customHeight="1" x14ac:dyDescent="0.2">
      <c r="C67" s="171"/>
      <c r="D67" s="171"/>
      <c r="E67" s="171"/>
      <c r="F67" s="171"/>
      <c r="G67" s="171"/>
      <c r="H67" s="171"/>
      <c r="I67" s="171"/>
      <c r="J67" s="171"/>
      <c r="K67" s="171"/>
      <c r="L67" s="171"/>
      <c r="M67" s="314"/>
    </row>
    <row r="68" spans="2:13" ht="14.1" customHeight="1" x14ac:dyDescent="0.2">
      <c r="C68" s="171"/>
      <c r="D68" s="171"/>
      <c r="E68" s="171"/>
      <c r="F68" s="171"/>
      <c r="G68" s="171"/>
      <c r="H68" s="171"/>
      <c r="I68" s="171"/>
      <c r="J68" s="171"/>
      <c r="K68" s="171"/>
      <c r="L68" s="171"/>
      <c r="M68" s="314"/>
    </row>
    <row r="69" spans="2:13" ht="14.1" customHeight="1" x14ac:dyDescent="0.2">
      <c r="C69" s="171"/>
      <c r="D69" s="171"/>
      <c r="E69" s="171"/>
      <c r="F69" s="171"/>
      <c r="G69" s="171"/>
      <c r="H69" s="171"/>
      <c r="I69" s="171"/>
      <c r="J69" s="171"/>
      <c r="K69" s="171"/>
      <c r="L69" s="171"/>
      <c r="M69" s="314"/>
    </row>
    <row r="70" spans="2:13" ht="14.1" customHeight="1" x14ac:dyDescent="0.2">
      <c r="C70" s="171"/>
      <c r="D70" s="171"/>
      <c r="E70" s="171"/>
      <c r="F70" s="171"/>
      <c r="G70" s="171"/>
      <c r="H70" s="171"/>
      <c r="I70" s="171"/>
      <c r="J70" s="171"/>
      <c r="K70" s="171"/>
      <c r="L70" s="171"/>
      <c r="M70" s="313"/>
    </row>
  </sheetData>
  <customSheetViews>
    <customSheetView guid="{EDC1BD6E-863A-4FC6-A3A9-F32079F4F0C1}">
      <selection activeCell="O30" sqref="O30"/>
      <pageMargins left="0" right="0" top="0" bottom="0" header="0" footer="0"/>
      <pageSetup paperSize="9" orientation="landscape" verticalDpi="0" r:id="rId1"/>
    </customSheetView>
  </customSheetViews>
  <pageMargins left="0.70866141732283472" right="0.70866141732283472" top="0.74803149606299213" bottom="0.74803149606299213" header="0.31496062992125984" footer="0.31496062992125984"/>
  <pageSetup paperSize="9" scale="64" orientation="portrait" verticalDpi="0" r:id="rId2"/>
  <headerFooter>
    <oddFooter>&amp;RPage &amp;P of &amp;N</oddFooter>
  </headerFooter>
  <rowBreaks count="1" manualBreakCount="1">
    <brk id="33" max="16383" man="1"/>
  </rowBreaks>
  <ignoredErrors>
    <ignoredError sqref="C36:K36"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tabColor theme="8" tint="0.39997558519241921"/>
    <pageSetUpPr fitToPage="1"/>
  </sheetPr>
  <dimension ref="A1:K76"/>
  <sheetViews>
    <sheetView showGridLines="0" zoomScaleNormal="100" workbookViewId="0">
      <selection activeCell="J11" sqref="J11"/>
    </sheetView>
  </sheetViews>
  <sheetFormatPr defaultColWidth="9.140625" defaultRowHeight="14.1" customHeight="1" x14ac:dyDescent="0.2"/>
  <cols>
    <col min="1" max="1" width="1.28515625" style="38" customWidth="1"/>
    <col min="2" max="2" width="41" style="21" customWidth="1"/>
    <col min="3" max="3" width="8.85546875" style="21" customWidth="1"/>
    <col min="4" max="4" width="9.7109375" style="21" customWidth="1"/>
    <col min="5" max="5" width="9.140625" style="21" hidden="1" customWidth="1"/>
    <col min="6" max="6" width="12.140625" style="21" bestFit="1" customWidth="1"/>
    <col min="7" max="7" width="11.42578125" style="21" customWidth="1"/>
    <col min="8" max="8" width="9.7109375" style="21" hidden="1" customWidth="1"/>
    <col min="9" max="9" width="11" style="21" customWidth="1"/>
    <col min="10" max="10" width="9.7109375" style="21" customWidth="1"/>
    <col min="11" max="11" width="9.42578125" style="21" customWidth="1"/>
    <col min="12" max="16384" width="9.140625" style="21"/>
  </cols>
  <sheetData>
    <row r="1" spans="1:11" s="313" customFormat="1" ht="14.1" customHeight="1" x14ac:dyDescent="0.2">
      <c r="A1" s="350" t="s">
        <v>1310</v>
      </c>
      <c r="B1" s="351"/>
      <c r="C1" s="351"/>
      <c r="D1" s="351"/>
      <c r="E1" s="351"/>
      <c r="F1" s="351"/>
      <c r="G1" s="351"/>
      <c r="H1" s="351"/>
      <c r="I1" s="351"/>
      <c r="J1" s="351"/>
      <c r="K1" s="351"/>
    </row>
    <row r="2" spans="1:11" s="313" customFormat="1" ht="14.1" customHeight="1" x14ac:dyDescent="0.2">
      <c r="A2" s="205"/>
    </row>
    <row r="3" spans="1:11" ht="14.1" customHeight="1" x14ac:dyDescent="0.2">
      <c r="A3" s="205">
        <f>'PPE (trust)'!A34+0.1</f>
        <v>17.300000000000004</v>
      </c>
      <c r="B3" s="289" t="str">
        <f>"Note "&amp;A3&amp; " Property, plant and equipment financing - " &amp; CurrentFY</f>
        <v>Note 17.3 Property, plant and equipment financing - 2021/22</v>
      </c>
      <c r="C3" s="313"/>
      <c r="D3" s="313"/>
      <c r="E3" s="313"/>
      <c r="F3" s="313"/>
      <c r="G3" s="313"/>
      <c r="H3" s="313"/>
      <c r="I3" s="313"/>
      <c r="J3" s="313"/>
      <c r="K3" s="313"/>
    </row>
    <row r="4" spans="1:11" ht="39.75" customHeight="1" x14ac:dyDescent="0.2">
      <c r="A4" s="205"/>
      <c r="B4" s="316" t="s">
        <v>94</v>
      </c>
      <c r="C4" s="290" t="s">
        <v>687</v>
      </c>
      <c r="D4" s="290" t="s">
        <v>964</v>
      </c>
      <c r="E4" s="290" t="s">
        <v>689</v>
      </c>
      <c r="F4" s="290" t="s">
        <v>965</v>
      </c>
      <c r="G4" s="290" t="s">
        <v>690</v>
      </c>
      <c r="H4" s="290" t="s">
        <v>691</v>
      </c>
      <c r="I4" s="290" t="s">
        <v>692</v>
      </c>
      <c r="J4" s="290" t="s">
        <v>693</v>
      </c>
      <c r="K4" s="290" t="s">
        <v>953</v>
      </c>
    </row>
    <row r="5" spans="1:11" ht="14.1" customHeight="1" x14ac:dyDescent="0.2">
      <c r="A5" s="205"/>
      <c r="B5" s="316"/>
      <c r="C5" s="290" t="s">
        <v>590</v>
      </c>
      <c r="D5" s="290" t="s">
        <v>590</v>
      </c>
      <c r="E5" s="290" t="s">
        <v>590</v>
      </c>
      <c r="F5" s="290" t="s">
        <v>590</v>
      </c>
      <c r="G5" s="290" t="s">
        <v>590</v>
      </c>
      <c r="H5" s="290" t="s">
        <v>590</v>
      </c>
      <c r="I5" s="290" t="s">
        <v>590</v>
      </c>
      <c r="J5" s="290" t="s">
        <v>590</v>
      </c>
      <c r="K5" s="290" t="s">
        <v>590</v>
      </c>
    </row>
    <row r="6" spans="1:11" ht="14.1" customHeight="1" x14ac:dyDescent="0.2">
      <c r="A6" s="205"/>
      <c r="B6" s="316" t="str">
        <f>"Net book value at " &amp; TEXT(CurrentYearEnd, "d mmmm yyyy")</f>
        <v>Net book value at 31 March 2022</v>
      </c>
      <c r="C6" s="174"/>
      <c r="D6" s="174"/>
      <c r="E6" s="174"/>
      <c r="F6" s="174"/>
      <c r="G6" s="174"/>
      <c r="H6" s="174"/>
      <c r="I6" s="174"/>
      <c r="J6" s="174"/>
      <c r="K6" s="174"/>
    </row>
    <row r="7" spans="1:11" ht="14.1" customHeight="1" x14ac:dyDescent="0.2">
      <c r="A7" s="205"/>
      <c r="B7" s="327" t="s">
        <v>970</v>
      </c>
      <c r="C7" s="219">
        <f>+'PPE 2 (group)'!C7</f>
        <v>26036.999899999999</v>
      </c>
      <c r="D7" s="219">
        <f>+'PPE 2 (group)'!D7-100</f>
        <v>36413.607279999997</v>
      </c>
      <c r="E7" s="219">
        <f>+'PPE 2 (group)'!E7</f>
        <v>0</v>
      </c>
      <c r="F7" s="219">
        <f>+'PPE 2 (group)'!F7-1393</f>
        <v>11416.36096</v>
      </c>
      <c r="G7" s="219">
        <f>+'PPE 2 (group)'!G7-99</f>
        <v>17913.657159999999</v>
      </c>
      <c r="H7" s="219">
        <f>+'PPE 2 (group)'!H7</f>
        <v>0</v>
      </c>
      <c r="I7" s="219">
        <f>+'PPE 2 (group)'!I7-21</f>
        <v>2155.3495200000016</v>
      </c>
      <c r="J7" s="219">
        <f>+'PPE 2 (group)'!J7-6</f>
        <v>372.56487000000016</v>
      </c>
      <c r="K7" s="220">
        <f>SUM(C7:J7)</f>
        <v>94308.539690000005</v>
      </c>
    </row>
    <row r="8" spans="1:11" ht="14.1" hidden="1" customHeight="1" x14ac:dyDescent="0.2">
      <c r="A8" s="205"/>
      <c r="B8" s="327" t="s">
        <v>971</v>
      </c>
      <c r="C8" s="219">
        <f>+'PPE 2 (group)'!C8</f>
        <v>0</v>
      </c>
      <c r="D8" s="219">
        <f>+'PPE 2 (group)'!D8</f>
        <v>0</v>
      </c>
      <c r="E8" s="219">
        <f>+'PPE 2 (group)'!E8</f>
        <v>0</v>
      </c>
      <c r="F8" s="219">
        <f>+'PPE 2 (group)'!F8</f>
        <v>0</v>
      </c>
      <c r="G8" s="219">
        <f>+'PPE 2 (group)'!G8</f>
        <v>0</v>
      </c>
      <c r="H8" s="219">
        <f>+'PPE 2 (group)'!H8</f>
        <v>0</v>
      </c>
      <c r="I8" s="219">
        <f>+'PPE 2 (group)'!I8</f>
        <v>0</v>
      </c>
      <c r="J8" s="219">
        <f>+'PPE 2 (group)'!J8</f>
        <v>0</v>
      </c>
      <c r="K8" s="220">
        <f t="shared" ref="K8:K11" si="0">SUM(C8:J8)</f>
        <v>0</v>
      </c>
    </row>
    <row r="9" spans="1:11" ht="24.75" hidden="1" customHeight="1" x14ac:dyDescent="0.2">
      <c r="A9" s="205"/>
      <c r="B9" s="327" t="s">
        <v>972</v>
      </c>
      <c r="C9" s="219">
        <f>+'PPE 2 (group)'!C9</f>
        <v>0</v>
      </c>
      <c r="D9" s="219">
        <f>+'PPE 2 (group)'!D9</f>
        <v>0</v>
      </c>
      <c r="E9" s="219">
        <f>+'PPE 2 (group)'!E9</f>
        <v>0</v>
      </c>
      <c r="F9" s="219">
        <f>+'PPE 2 (group)'!F9</f>
        <v>0</v>
      </c>
      <c r="G9" s="219">
        <f>+'PPE 2 (group)'!G9</f>
        <v>0</v>
      </c>
      <c r="H9" s="219">
        <f>+'PPE 2 (group)'!H9</f>
        <v>0</v>
      </c>
      <c r="I9" s="219">
        <f>+'PPE 2 (group)'!I9</f>
        <v>0</v>
      </c>
      <c r="J9" s="219">
        <f>+'PPE 2 (group)'!J9</f>
        <v>0</v>
      </c>
      <c r="K9" s="220">
        <f t="shared" si="0"/>
        <v>0</v>
      </c>
    </row>
    <row r="10" spans="1:11" ht="14.1" hidden="1" customHeight="1" x14ac:dyDescent="0.2">
      <c r="A10" s="205"/>
      <c r="B10" s="327" t="s">
        <v>973</v>
      </c>
      <c r="C10" s="219">
        <f>+'PPE 2 (group)'!C10</f>
        <v>0</v>
      </c>
      <c r="D10" s="219">
        <f>+'PPE 2 (group)'!D10</f>
        <v>0</v>
      </c>
      <c r="E10" s="219">
        <f>+'PPE 2 (group)'!E10</f>
        <v>0</v>
      </c>
      <c r="F10" s="219">
        <f>+'PPE 2 (group)'!F10</f>
        <v>0</v>
      </c>
      <c r="G10" s="219">
        <f>+'PPE 2 (group)'!G10</f>
        <v>0</v>
      </c>
      <c r="H10" s="219">
        <f>+'PPE 2 (group)'!H10</f>
        <v>0</v>
      </c>
      <c r="I10" s="219">
        <f>+'PPE 2 (group)'!I10</f>
        <v>0</v>
      </c>
      <c r="J10" s="219">
        <f>+'PPE 2 (group)'!J10</f>
        <v>0</v>
      </c>
      <c r="K10" s="220">
        <f t="shared" si="0"/>
        <v>0</v>
      </c>
    </row>
    <row r="11" spans="1:11" ht="14.1" customHeight="1" x14ac:dyDescent="0.2">
      <c r="A11" s="205"/>
      <c r="B11" s="327" t="s">
        <v>975</v>
      </c>
      <c r="C11" s="219">
        <f>+'PPE 2 (group)'!C11</f>
        <v>0</v>
      </c>
      <c r="D11" s="219">
        <f>+'PPE 2 (group)'!D11</f>
        <v>9235</v>
      </c>
      <c r="E11" s="219">
        <f>+'PPE 2 (group)'!E11</f>
        <v>0</v>
      </c>
      <c r="F11" s="219">
        <f>+'PPE 2 (group)'!F11</f>
        <v>0</v>
      </c>
      <c r="G11" s="219">
        <f>+'PPE 2 (group)'!G11</f>
        <v>853</v>
      </c>
      <c r="H11" s="219">
        <f>+'PPE 2 (group)'!H11</f>
        <v>0</v>
      </c>
      <c r="I11" s="219">
        <f>+'PPE 2 (group)'!I11</f>
        <v>2</v>
      </c>
      <c r="J11" s="219">
        <f>+'PPE 2 (group)'!J11</f>
        <v>16</v>
      </c>
      <c r="K11" s="220">
        <f t="shared" si="0"/>
        <v>10106</v>
      </c>
    </row>
    <row r="12" spans="1:11" ht="14.1" customHeight="1" thickBot="1" x14ac:dyDescent="0.25">
      <c r="A12" s="205"/>
      <c r="B12" s="289" t="str">
        <f>"NBV total at " &amp; TEXT(CurrentYearEnd, "d mmmm yyyy")</f>
        <v>NBV total at 31 March 2022</v>
      </c>
      <c r="C12" s="206">
        <f t="shared" ref="C12:K12" si="1">SUM(C7:C11)</f>
        <v>26036.999899999999</v>
      </c>
      <c r="D12" s="206">
        <f t="shared" si="1"/>
        <v>45648.607279999997</v>
      </c>
      <c r="E12" s="206">
        <f t="shared" si="1"/>
        <v>0</v>
      </c>
      <c r="F12" s="206">
        <f t="shared" si="1"/>
        <v>11416.36096</v>
      </c>
      <c r="G12" s="206">
        <f t="shared" si="1"/>
        <v>18766.657159999999</v>
      </c>
      <c r="H12" s="206">
        <f t="shared" si="1"/>
        <v>0</v>
      </c>
      <c r="I12" s="206">
        <f t="shared" si="1"/>
        <v>2157.3495200000016</v>
      </c>
      <c r="J12" s="206">
        <f t="shared" si="1"/>
        <v>388.56487000000016</v>
      </c>
      <c r="K12" s="206">
        <f t="shared" si="1"/>
        <v>104414.53969000001</v>
      </c>
    </row>
    <row r="13" spans="1:11" ht="14.1" customHeight="1" thickTop="1" x14ac:dyDescent="0.2">
      <c r="A13" s="205"/>
      <c r="B13" s="316"/>
      <c r="C13" s="203"/>
      <c r="D13" s="203"/>
      <c r="E13" s="203"/>
      <c r="F13" s="203"/>
      <c r="G13" s="203"/>
      <c r="H13" s="203"/>
      <c r="I13" s="203"/>
      <c r="J13" s="203"/>
      <c r="K13" s="203"/>
    </row>
    <row r="14" spans="1:11" ht="14.1" customHeight="1" x14ac:dyDescent="0.2">
      <c r="A14" s="205"/>
      <c r="B14" s="316"/>
      <c r="C14" s="313"/>
      <c r="D14" s="313"/>
      <c r="E14" s="313"/>
      <c r="F14" s="313"/>
      <c r="G14" s="313"/>
      <c r="H14" s="313"/>
      <c r="I14" s="313"/>
      <c r="J14" s="313"/>
      <c r="K14" s="313"/>
    </row>
    <row r="15" spans="1:11" ht="14.1" customHeight="1" x14ac:dyDescent="0.2">
      <c r="A15" s="205">
        <f>A3+0.1</f>
        <v>17.400000000000006</v>
      </c>
      <c r="B15" s="289" t="str">
        <f>"Note "&amp;A15&amp; " Property, plant and equipment financing - " &amp; ComparativeFY</f>
        <v>Note 17.4 Property, plant and equipment financing - 2020/21</v>
      </c>
      <c r="C15" s="313"/>
      <c r="D15" s="313"/>
      <c r="E15" s="313"/>
      <c r="F15" s="313"/>
      <c r="G15" s="313"/>
      <c r="H15" s="313"/>
      <c r="I15" s="313"/>
      <c r="J15" s="313"/>
      <c r="K15" s="313"/>
    </row>
    <row r="16" spans="1:11" ht="45" customHeight="1" x14ac:dyDescent="0.2">
      <c r="A16" s="205"/>
      <c r="B16" s="316" t="s">
        <v>94</v>
      </c>
      <c r="C16" s="290" t="s">
        <v>687</v>
      </c>
      <c r="D16" s="290" t="s">
        <v>964</v>
      </c>
      <c r="E16" s="290" t="s">
        <v>689</v>
      </c>
      <c r="F16" s="290" t="s">
        <v>965</v>
      </c>
      <c r="G16" s="290" t="s">
        <v>690</v>
      </c>
      <c r="H16" s="290" t="s">
        <v>691</v>
      </c>
      <c r="I16" s="290" t="s">
        <v>692</v>
      </c>
      <c r="J16" s="290" t="s">
        <v>693</v>
      </c>
      <c r="K16" s="290" t="s">
        <v>953</v>
      </c>
    </row>
    <row r="17" spans="1:11" ht="14.1" customHeight="1" x14ac:dyDescent="0.2">
      <c r="A17" s="205"/>
      <c r="B17" s="316"/>
      <c r="C17" s="290" t="s">
        <v>590</v>
      </c>
      <c r="D17" s="290" t="s">
        <v>590</v>
      </c>
      <c r="E17" s="290" t="s">
        <v>590</v>
      </c>
      <c r="F17" s="290" t="s">
        <v>590</v>
      </c>
      <c r="G17" s="290" t="s">
        <v>590</v>
      </c>
      <c r="H17" s="290" t="s">
        <v>590</v>
      </c>
      <c r="I17" s="290" t="s">
        <v>590</v>
      </c>
      <c r="J17" s="290" t="s">
        <v>590</v>
      </c>
      <c r="K17" s="290" t="s">
        <v>590</v>
      </c>
    </row>
    <row r="18" spans="1:11" ht="14.1" customHeight="1" x14ac:dyDescent="0.2">
      <c r="A18" s="313"/>
      <c r="B18" s="316" t="str">
        <f>"Net book value at " &amp;TEXT(ComparativeYearEnd, "d mmmm yyyy")</f>
        <v>Net book value at 31 March 2021</v>
      </c>
      <c r="C18" s="174"/>
      <c r="D18" s="174"/>
      <c r="E18" s="174"/>
      <c r="F18" s="174"/>
      <c r="G18" s="174"/>
      <c r="H18" s="174"/>
      <c r="I18" s="174"/>
      <c r="J18" s="174"/>
      <c r="K18" s="175"/>
    </row>
    <row r="19" spans="1:11" ht="14.1" customHeight="1" x14ac:dyDescent="0.2">
      <c r="A19" s="313"/>
      <c r="B19" s="327" t="s">
        <v>970</v>
      </c>
      <c r="C19" s="219">
        <f>+'PPE 2 (group)'!C19</f>
        <v>23670.999899999999</v>
      </c>
      <c r="D19" s="219">
        <f>+'PPE 2 (group)'!D19-146</f>
        <v>35239.607279999997</v>
      </c>
      <c r="E19" s="219">
        <f>+'PPE 2 (group)'!E19</f>
        <v>0</v>
      </c>
      <c r="F19" s="219">
        <f>+'PPE 2 (group)'!F19</f>
        <v>8913.36096</v>
      </c>
      <c r="G19" s="219">
        <f>+'PPE 2 (group)'!G19-66</f>
        <v>15605.657159999999</v>
      </c>
      <c r="H19" s="219">
        <f>+'PPE 2 (group)'!H19</f>
        <v>0</v>
      </c>
      <c r="I19" s="219">
        <f>+'PPE 2 (group)'!I19-19</f>
        <v>2720.3495200000016</v>
      </c>
      <c r="J19" s="219">
        <f>+'PPE 2 (group)'!J19-5</f>
        <v>419.56487000000016</v>
      </c>
      <c r="K19" s="220">
        <f t="shared" ref="K19:K23" si="2">SUM(C19:J19)</f>
        <v>86569.539690000005</v>
      </c>
    </row>
    <row r="20" spans="1:11" ht="14.1" hidden="1" customHeight="1" x14ac:dyDescent="0.2">
      <c r="A20" s="313"/>
      <c r="B20" s="327" t="s">
        <v>971</v>
      </c>
      <c r="C20" s="219">
        <f>+'PPE 2 (group)'!C20</f>
        <v>0</v>
      </c>
      <c r="D20" s="219">
        <f>+'PPE 2 (group)'!D20</f>
        <v>0</v>
      </c>
      <c r="E20" s="219">
        <f>+'PPE 2 (group)'!E20</f>
        <v>0</v>
      </c>
      <c r="F20" s="219">
        <f>+'PPE 2 (group)'!F20</f>
        <v>0</v>
      </c>
      <c r="G20" s="219">
        <f>+'PPE 2 (group)'!G20</f>
        <v>0</v>
      </c>
      <c r="H20" s="219">
        <f>+'PPE 2 (group)'!H20</f>
        <v>0</v>
      </c>
      <c r="I20" s="219">
        <f>+'PPE 2 (group)'!I20</f>
        <v>0</v>
      </c>
      <c r="J20" s="219">
        <f>+'PPE 2 (group)'!J20</f>
        <v>0</v>
      </c>
      <c r="K20" s="220">
        <f t="shared" si="2"/>
        <v>0</v>
      </c>
    </row>
    <row r="21" spans="1:11" ht="26.45" hidden="1" customHeight="1" x14ac:dyDescent="0.2">
      <c r="A21" s="313"/>
      <c r="B21" s="327" t="s">
        <v>972</v>
      </c>
      <c r="C21" s="219">
        <f>+'PPE 2 (group)'!C21</f>
        <v>0</v>
      </c>
      <c r="D21" s="219">
        <f>+'PPE 2 (group)'!D21</f>
        <v>0</v>
      </c>
      <c r="E21" s="219">
        <f>+'PPE 2 (group)'!E21</f>
        <v>0</v>
      </c>
      <c r="F21" s="219">
        <f>+'PPE 2 (group)'!F21</f>
        <v>0</v>
      </c>
      <c r="G21" s="219">
        <f>+'PPE 2 (group)'!G21</f>
        <v>0</v>
      </c>
      <c r="H21" s="219">
        <f>+'PPE 2 (group)'!H21</f>
        <v>0</v>
      </c>
      <c r="I21" s="219">
        <f>+'PPE 2 (group)'!I21</f>
        <v>0</v>
      </c>
      <c r="J21" s="219">
        <f>+'PPE 2 (group)'!J21</f>
        <v>0</v>
      </c>
      <c r="K21" s="220">
        <f t="shared" si="2"/>
        <v>0</v>
      </c>
    </row>
    <row r="22" spans="1:11" ht="14.1" hidden="1" customHeight="1" x14ac:dyDescent="0.2">
      <c r="A22" s="313"/>
      <c r="B22" s="327" t="s">
        <v>973</v>
      </c>
      <c r="C22" s="219">
        <f>+'PPE 2 (group)'!C22</f>
        <v>0</v>
      </c>
      <c r="D22" s="219">
        <f>+'PPE 2 (group)'!D22</f>
        <v>0</v>
      </c>
      <c r="E22" s="219">
        <f>+'PPE 2 (group)'!E22</f>
        <v>0</v>
      </c>
      <c r="F22" s="219">
        <f>+'PPE 2 (group)'!F22</f>
        <v>0</v>
      </c>
      <c r="G22" s="219">
        <f>+'PPE 2 (group)'!G22</f>
        <v>0</v>
      </c>
      <c r="H22" s="219">
        <f>+'PPE 2 (group)'!H22</f>
        <v>0</v>
      </c>
      <c r="I22" s="219">
        <f>+'PPE 2 (group)'!I22</f>
        <v>0</v>
      </c>
      <c r="J22" s="219">
        <f>+'PPE 2 (group)'!J22</f>
        <v>0</v>
      </c>
      <c r="K22" s="220">
        <f t="shared" si="2"/>
        <v>0</v>
      </c>
    </row>
    <row r="23" spans="1:11" ht="14.1" customHeight="1" x14ac:dyDescent="0.2">
      <c r="A23" s="313"/>
      <c r="B23" s="432" t="s">
        <v>975</v>
      </c>
      <c r="C23" s="219">
        <f>+'PPE 2 (group)'!C23</f>
        <v>0</v>
      </c>
      <c r="D23" s="219">
        <f>+'PPE 2 (group)'!D23</f>
        <v>9117</v>
      </c>
      <c r="E23" s="219">
        <f>+'PPE 2 (group)'!E23</f>
        <v>0</v>
      </c>
      <c r="F23" s="219">
        <f>+'PPE 2 (group)'!F23</f>
        <v>0</v>
      </c>
      <c r="G23" s="219">
        <f>+'PPE 2 (group)'!G23</f>
        <v>938</v>
      </c>
      <c r="H23" s="219">
        <f>+'PPE 2 (group)'!H23</f>
        <v>0</v>
      </c>
      <c r="I23" s="219">
        <f>+'PPE 2 (group)'!I23</f>
        <v>12</v>
      </c>
      <c r="J23" s="219">
        <f>+'PPE 2 (group)'!J23</f>
        <v>21</v>
      </c>
      <c r="K23" s="220">
        <f t="shared" si="2"/>
        <v>10088</v>
      </c>
    </row>
    <row r="24" spans="1:11" ht="14.1" customHeight="1" thickBot="1" x14ac:dyDescent="0.25">
      <c r="A24" s="313"/>
      <c r="B24" s="289" t="str">
        <f>"NBV total at " &amp;TEXT(ComparativeYearEnd, "d mmmm yyyy")</f>
        <v>NBV total at 31 March 2021</v>
      </c>
      <c r="C24" s="206">
        <f t="shared" ref="C24:K24" si="3">SUM(C19:C23)</f>
        <v>23670.999899999999</v>
      </c>
      <c r="D24" s="206">
        <f t="shared" si="3"/>
        <v>44356.607279999997</v>
      </c>
      <c r="E24" s="206">
        <f t="shared" si="3"/>
        <v>0</v>
      </c>
      <c r="F24" s="206">
        <f t="shared" si="3"/>
        <v>8913.36096</v>
      </c>
      <c r="G24" s="206">
        <f t="shared" si="3"/>
        <v>16543.657159999999</v>
      </c>
      <c r="H24" s="206">
        <f t="shared" si="3"/>
        <v>0</v>
      </c>
      <c r="I24" s="206">
        <f t="shared" si="3"/>
        <v>2732.3495200000016</v>
      </c>
      <c r="J24" s="206">
        <f t="shared" si="3"/>
        <v>440.56487000000016</v>
      </c>
      <c r="K24" s="206">
        <f t="shared" si="3"/>
        <v>96657.539690000005</v>
      </c>
    </row>
    <row r="25" spans="1:11" ht="14.1" customHeight="1" thickTop="1" x14ac:dyDescent="0.2">
      <c r="A25" s="313"/>
      <c r="B25" s="313"/>
      <c r="C25" s="203"/>
      <c r="D25" s="203"/>
      <c r="E25" s="203"/>
      <c r="F25" s="203"/>
      <c r="G25" s="203"/>
      <c r="H25" s="203"/>
      <c r="I25" s="203"/>
      <c r="J25" s="203"/>
      <c r="K25" s="203"/>
    </row>
    <row r="26" spans="1:11" ht="14.1" customHeight="1" x14ac:dyDescent="0.2">
      <c r="A26" s="313"/>
      <c r="B26" s="313"/>
      <c r="C26" s="203"/>
      <c r="D26" s="203"/>
      <c r="E26" s="203"/>
      <c r="F26" s="203"/>
      <c r="G26" s="203"/>
      <c r="H26" s="203"/>
      <c r="I26" s="203"/>
      <c r="J26" s="203"/>
      <c r="K26" s="203"/>
    </row>
    <row r="27" spans="1:11" ht="14.1" customHeight="1" x14ac:dyDescent="0.2">
      <c r="A27" s="313"/>
      <c r="B27" s="313"/>
      <c r="C27" s="313"/>
      <c r="D27" s="313"/>
      <c r="E27" s="313"/>
      <c r="F27" s="313"/>
      <c r="G27" s="313"/>
      <c r="H27" s="313"/>
      <c r="I27" s="313"/>
      <c r="J27" s="313"/>
      <c r="K27" s="313"/>
    </row>
    <row r="28" spans="1:11" ht="14.1" customHeight="1" x14ac:dyDescent="0.2">
      <c r="A28" s="313"/>
      <c r="B28" s="313"/>
      <c r="C28" s="313"/>
      <c r="D28" s="313"/>
      <c r="E28" s="313"/>
      <c r="F28" s="313"/>
      <c r="G28" s="313"/>
      <c r="H28" s="313"/>
      <c r="I28" s="313"/>
      <c r="J28" s="313"/>
      <c r="K28" s="313"/>
    </row>
    <row r="29" spans="1:11" ht="14.1" customHeight="1" x14ac:dyDescent="0.2">
      <c r="A29" s="313"/>
      <c r="B29" s="313"/>
      <c r="C29" s="313"/>
      <c r="D29" s="313"/>
      <c r="E29" s="313"/>
      <c r="F29" s="313"/>
      <c r="G29" s="313"/>
      <c r="H29" s="313"/>
      <c r="I29" s="313"/>
      <c r="J29" s="313"/>
      <c r="K29" s="313"/>
    </row>
    <row r="30" spans="1:11" ht="14.1" customHeight="1" x14ac:dyDescent="0.2">
      <c r="A30" s="313"/>
      <c r="B30" s="313"/>
      <c r="C30" s="313"/>
      <c r="D30" s="313"/>
      <c r="E30" s="313"/>
      <c r="F30" s="313"/>
      <c r="G30" s="313"/>
      <c r="H30" s="313"/>
      <c r="I30" s="313"/>
      <c r="J30" s="313"/>
      <c r="K30" s="313"/>
    </row>
    <row r="31" spans="1:11" ht="14.1" customHeight="1" x14ac:dyDescent="0.2">
      <c r="A31" s="313"/>
      <c r="B31" s="313"/>
      <c r="C31" s="313"/>
      <c r="D31" s="313"/>
      <c r="E31" s="313"/>
      <c r="F31" s="313"/>
      <c r="G31" s="313"/>
      <c r="H31" s="313"/>
      <c r="I31" s="313"/>
      <c r="J31" s="313"/>
      <c r="K31" s="313"/>
    </row>
    <row r="32" spans="1:11" ht="14.1" customHeight="1" x14ac:dyDescent="0.2">
      <c r="A32" s="313"/>
      <c r="B32" s="313"/>
      <c r="C32" s="313"/>
      <c r="D32" s="313"/>
      <c r="E32" s="313"/>
      <c r="F32" s="313"/>
      <c r="G32" s="313"/>
      <c r="H32" s="313"/>
      <c r="I32" s="313"/>
      <c r="J32" s="313"/>
      <c r="K32" s="313"/>
    </row>
    <row r="33" spans="1:11" ht="14.1" customHeight="1" x14ac:dyDescent="0.2">
      <c r="A33" s="313"/>
      <c r="B33" s="313"/>
      <c r="C33" s="313"/>
      <c r="D33" s="313"/>
      <c r="E33" s="313"/>
      <c r="F33" s="313"/>
      <c r="G33" s="313"/>
      <c r="H33" s="313"/>
      <c r="I33" s="313"/>
      <c r="J33" s="313"/>
      <c r="K33" s="313"/>
    </row>
    <row r="34" spans="1:11" ht="14.1" customHeight="1" x14ac:dyDescent="0.2">
      <c r="A34" s="313"/>
    </row>
    <row r="35" spans="1:11" ht="14.1" customHeight="1" x14ac:dyDescent="0.2">
      <c r="A35" s="313"/>
    </row>
    <row r="36" spans="1:11" ht="14.1" customHeight="1" x14ac:dyDescent="0.2">
      <c r="A36" s="313"/>
    </row>
    <row r="37" spans="1:11" ht="14.1" customHeight="1" x14ac:dyDescent="0.2">
      <c r="A37" s="313"/>
    </row>
    <row r="38" spans="1:11" ht="14.1" customHeight="1" x14ac:dyDescent="0.2">
      <c r="A38" s="313"/>
    </row>
    <row r="39" spans="1:11" ht="14.1" customHeight="1" x14ac:dyDescent="0.2">
      <c r="A39" s="313"/>
    </row>
    <row r="40" spans="1:11" ht="14.1" customHeight="1" x14ac:dyDescent="0.2">
      <c r="A40" s="313"/>
    </row>
    <row r="41" spans="1:11" ht="14.1" customHeight="1" x14ac:dyDescent="0.2">
      <c r="A41" s="313"/>
    </row>
    <row r="42" spans="1:11" ht="14.1" customHeight="1" x14ac:dyDescent="0.2">
      <c r="A42" s="313"/>
    </row>
    <row r="43" spans="1:11" ht="14.1" customHeight="1" x14ac:dyDescent="0.2">
      <c r="A43" s="313"/>
    </row>
    <row r="44" spans="1:11" ht="14.1" customHeight="1" x14ac:dyDescent="0.2">
      <c r="A44" s="313"/>
    </row>
    <row r="45" spans="1:11" ht="14.1" customHeight="1" x14ac:dyDescent="0.2">
      <c r="A45" s="313"/>
    </row>
    <row r="46" spans="1:11" ht="14.1" customHeight="1" x14ac:dyDescent="0.2">
      <c r="A46" s="313"/>
    </row>
    <row r="47" spans="1:11" ht="14.1" customHeight="1" x14ac:dyDescent="0.2">
      <c r="A47" s="313"/>
    </row>
    <row r="48" spans="1:11" ht="14.1" customHeight="1" x14ac:dyDescent="0.2">
      <c r="A48" s="313"/>
    </row>
    <row r="49" spans="1:1" ht="14.1" customHeight="1" x14ac:dyDescent="0.2">
      <c r="A49" s="313"/>
    </row>
    <row r="50" spans="1:1" ht="14.1" customHeight="1" x14ac:dyDescent="0.2">
      <c r="A50" s="313"/>
    </row>
    <row r="51" spans="1:1" ht="14.1" customHeight="1" x14ac:dyDescent="0.2">
      <c r="A51" s="313"/>
    </row>
    <row r="52" spans="1:1" ht="14.1" customHeight="1" x14ac:dyDescent="0.2">
      <c r="A52" s="313"/>
    </row>
    <row r="53" spans="1:1" ht="14.1" customHeight="1" x14ac:dyDescent="0.2">
      <c r="A53" s="313"/>
    </row>
    <row r="54" spans="1:1" ht="14.1" customHeight="1" x14ac:dyDescent="0.2">
      <c r="A54" s="313"/>
    </row>
    <row r="55" spans="1:1" ht="14.1" customHeight="1" x14ac:dyDescent="0.2">
      <c r="A55" s="313"/>
    </row>
    <row r="56" spans="1:1" ht="14.1" customHeight="1" x14ac:dyDescent="0.2">
      <c r="A56" s="313"/>
    </row>
    <row r="57" spans="1:1" ht="14.1" customHeight="1" x14ac:dyDescent="0.2">
      <c r="A57" s="313"/>
    </row>
    <row r="58" spans="1:1" ht="14.1" customHeight="1" x14ac:dyDescent="0.2">
      <c r="A58" s="313"/>
    </row>
    <row r="59" spans="1:1" ht="14.1" customHeight="1" x14ac:dyDescent="0.2">
      <c r="A59" s="313"/>
    </row>
    <row r="60" spans="1:1" ht="14.1" customHeight="1" x14ac:dyDescent="0.2">
      <c r="A60" s="313"/>
    </row>
    <row r="61" spans="1:1" ht="14.1" customHeight="1" x14ac:dyDescent="0.2">
      <c r="A61" s="313"/>
    </row>
    <row r="62" spans="1:1" ht="14.1" customHeight="1" x14ac:dyDescent="0.2">
      <c r="A62" s="313"/>
    </row>
    <row r="63" spans="1:1" ht="14.1" customHeight="1" x14ac:dyDescent="0.2">
      <c r="A63" s="313"/>
    </row>
    <row r="64" spans="1:1" ht="14.1" customHeight="1" x14ac:dyDescent="0.2">
      <c r="A64" s="313"/>
    </row>
    <row r="65" spans="1:1" ht="14.1" customHeight="1" x14ac:dyDescent="0.2">
      <c r="A65" s="313"/>
    </row>
    <row r="66" spans="1:1" ht="14.1" customHeight="1" x14ac:dyDescent="0.2">
      <c r="A66" s="313"/>
    </row>
    <row r="67" spans="1:1" ht="14.1" customHeight="1" x14ac:dyDescent="0.2">
      <c r="A67" s="313"/>
    </row>
    <row r="68" spans="1:1" ht="14.1" customHeight="1" x14ac:dyDescent="0.2">
      <c r="A68" s="313"/>
    </row>
    <row r="69" spans="1:1" ht="14.1" customHeight="1" x14ac:dyDescent="0.2">
      <c r="A69" s="313"/>
    </row>
    <row r="70" spans="1:1" ht="14.1" customHeight="1" x14ac:dyDescent="0.2">
      <c r="A70" s="313"/>
    </row>
    <row r="71" spans="1:1" ht="14.1" customHeight="1" x14ac:dyDescent="0.2">
      <c r="A71" s="313"/>
    </row>
    <row r="72" spans="1:1" ht="14.1" customHeight="1" x14ac:dyDescent="0.2">
      <c r="A72" s="313"/>
    </row>
    <row r="73" spans="1:1" ht="14.1" customHeight="1" x14ac:dyDescent="0.2">
      <c r="A73" s="313"/>
    </row>
    <row r="74" spans="1:1" ht="14.1" customHeight="1" x14ac:dyDescent="0.2">
      <c r="A74" s="313"/>
    </row>
    <row r="75" spans="1:1" ht="14.1" customHeight="1" x14ac:dyDescent="0.2">
      <c r="A75" s="313"/>
    </row>
    <row r="76" spans="1:1" ht="14.1" customHeight="1" x14ac:dyDescent="0.2">
      <c r="A76" s="313"/>
    </row>
  </sheetData>
  <customSheetViews>
    <customSheetView guid="{EDC1BD6E-863A-4FC6-A3A9-F32079F4F0C1}">
      <selection activeCell="B25" sqref="B25"/>
      <pageMargins left="0" right="0" top="0" bottom="0" header="0" footer="0"/>
      <pageSetup paperSize="9" orientation="landscape" verticalDpi="0" r:id="rId1"/>
    </customSheetView>
  </customSheetViews>
  <pageMargins left="0.70866141732283472" right="0.70866141732283472" top="0.74803149606299213" bottom="0.74803149606299213" header="0.31496062992125984" footer="0.31496062992125984"/>
  <pageSetup paperSize="9" scale="76" orientation="portrait" verticalDpi="0" r:id="rId2"/>
  <headerFooter>
    <oddFooter>&amp;RPage &amp;P of &amp;N</oddFooter>
  </headerFooter>
  <ignoredErrors>
    <ignoredError sqref="C17:K17 C5:K5"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6">
    <pageSetUpPr fitToPage="1"/>
  </sheetPr>
  <dimension ref="A1:W47"/>
  <sheetViews>
    <sheetView showGridLines="0" zoomScaleNormal="100" workbookViewId="0">
      <selection activeCell="B39" sqref="B39"/>
    </sheetView>
  </sheetViews>
  <sheetFormatPr defaultRowHeight="14.1" customHeight="1" x14ac:dyDescent="0.25"/>
  <cols>
    <col min="1" max="1" width="1.140625" style="39" customWidth="1"/>
    <col min="2" max="2" width="40.140625" customWidth="1"/>
    <col min="3" max="3" width="10.7109375" customWidth="1"/>
    <col min="4" max="4" width="0.7109375" customWidth="1"/>
    <col min="5" max="5" width="10.7109375" customWidth="1"/>
    <col min="6" max="6" width="1" customWidth="1"/>
    <col min="7" max="7" width="10.7109375" style="21" customWidth="1"/>
    <col min="8" max="8" width="0.7109375" style="21" customWidth="1"/>
    <col min="9" max="9" width="10.7109375" style="21" customWidth="1"/>
    <col min="10" max="23" width="9.140625" style="21"/>
  </cols>
  <sheetData>
    <row r="1" spans="1:23" s="317" customFormat="1" ht="14.1" customHeight="1" x14ac:dyDescent="0.25">
      <c r="A1" s="350" t="s">
        <v>1310</v>
      </c>
      <c r="B1" s="351"/>
      <c r="C1" s="351"/>
      <c r="D1" s="351"/>
      <c r="E1" s="351"/>
      <c r="F1" s="351"/>
      <c r="G1" s="351"/>
      <c r="H1" s="351"/>
      <c r="I1" s="351"/>
      <c r="J1" s="313"/>
      <c r="K1" s="313"/>
      <c r="L1" s="313"/>
      <c r="M1" s="313"/>
      <c r="N1" s="313"/>
      <c r="O1" s="313"/>
      <c r="P1" s="313"/>
      <c r="Q1" s="313"/>
      <c r="R1" s="313"/>
      <c r="S1" s="313"/>
      <c r="T1" s="313"/>
      <c r="U1" s="313"/>
      <c r="V1" s="313"/>
      <c r="W1" s="313"/>
    </row>
    <row r="2" spans="1:23" s="317" customFormat="1" ht="14.1" customHeight="1" x14ac:dyDescent="0.25">
      <c r="A2" s="177"/>
      <c r="G2" s="313"/>
      <c r="H2" s="313"/>
      <c r="I2" s="313"/>
      <c r="J2" s="313"/>
      <c r="K2" s="313"/>
      <c r="L2" s="313"/>
      <c r="M2" s="313"/>
      <c r="N2" s="313"/>
      <c r="O2" s="313"/>
      <c r="P2" s="313"/>
      <c r="Q2" s="313"/>
      <c r="R2" s="313"/>
      <c r="S2" s="313"/>
      <c r="T2" s="313"/>
      <c r="U2" s="313"/>
      <c r="V2" s="313"/>
      <c r="W2" s="313"/>
    </row>
    <row r="3" spans="1:23" s="31" customFormat="1" ht="14.1" customHeight="1" x14ac:dyDescent="0.25">
      <c r="A3" s="177">
        <f>ROUNDDOWN('PPE 2 (trust)'!A15,0)+1</f>
        <v>18</v>
      </c>
      <c r="B3" s="309" t="str">
        <f>"Note " &amp;A3&amp; " Donations of property, plant and equipment"</f>
        <v>Note 18 Donations of property, plant and equipment</v>
      </c>
      <c r="C3" s="317"/>
      <c r="D3" s="317"/>
      <c r="E3" s="317"/>
      <c r="F3" s="317"/>
      <c r="G3" s="313"/>
      <c r="H3" s="313"/>
      <c r="I3" s="313"/>
      <c r="J3" s="313"/>
      <c r="K3" s="313"/>
      <c r="L3" s="313"/>
      <c r="M3" s="313"/>
      <c r="N3" s="313"/>
      <c r="O3" s="313"/>
      <c r="P3" s="313"/>
      <c r="Q3" s="313"/>
      <c r="R3" s="313"/>
      <c r="S3" s="313"/>
      <c r="T3" s="313"/>
      <c r="U3" s="313"/>
      <c r="V3" s="313"/>
      <c r="W3" s="313"/>
    </row>
    <row r="4" spans="1:23" s="31" customFormat="1" ht="29.25" customHeight="1" x14ac:dyDescent="0.25">
      <c r="A4" s="177"/>
      <c r="B4" s="448" t="s">
        <v>1404</v>
      </c>
      <c r="C4" s="448"/>
      <c r="D4" s="448"/>
      <c r="E4" s="448"/>
      <c r="F4" s="448"/>
      <c r="G4" s="448"/>
      <c r="H4" s="448"/>
      <c r="I4" s="448"/>
      <c r="J4" s="317"/>
      <c r="K4" s="317"/>
      <c r="L4" s="313"/>
      <c r="M4" s="313"/>
      <c r="N4" s="313"/>
      <c r="O4" s="313"/>
      <c r="P4" s="313"/>
      <c r="Q4" s="313"/>
      <c r="R4" s="313"/>
      <c r="S4" s="313"/>
      <c r="T4" s="313"/>
      <c r="U4" s="313"/>
      <c r="V4" s="313"/>
      <c r="W4" s="313"/>
    </row>
    <row r="5" spans="1:23" s="31" customFormat="1" ht="10.35" customHeight="1" x14ac:dyDescent="0.25">
      <c r="A5" s="177"/>
      <c r="B5" s="330"/>
      <c r="C5" s="330"/>
      <c r="D5" s="330"/>
      <c r="E5" s="330"/>
      <c r="F5" s="330"/>
      <c r="G5" s="313"/>
      <c r="H5" s="313"/>
      <c r="I5" s="313"/>
      <c r="J5" s="317"/>
      <c r="K5" s="317"/>
      <c r="L5" s="313"/>
      <c r="M5" s="313"/>
      <c r="N5" s="313"/>
      <c r="O5" s="313"/>
      <c r="P5" s="313"/>
      <c r="Q5" s="313"/>
      <c r="R5" s="313"/>
      <c r="S5" s="313"/>
      <c r="T5" s="313"/>
      <c r="U5" s="313"/>
      <c r="V5" s="313"/>
      <c r="W5" s="313"/>
    </row>
    <row r="6" spans="1:23" s="31" customFormat="1" ht="15" x14ac:dyDescent="0.25">
      <c r="A6" s="177"/>
      <c r="B6" s="315"/>
      <c r="C6" s="315"/>
      <c r="D6" s="315"/>
      <c r="E6" s="315"/>
      <c r="F6" s="315"/>
      <c r="G6" s="313"/>
      <c r="H6" s="313"/>
      <c r="I6" s="313"/>
      <c r="J6" s="313"/>
      <c r="K6" s="313"/>
      <c r="L6" s="313"/>
      <c r="M6" s="313"/>
      <c r="N6" s="313"/>
      <c r="O6" s="313"/>
      <c r="P6" s="313"/>
      <c r="Q6" s="313"/>
      <c r="R6" s="313"/>
      <c r="S6" s="313"/>
      <c r="T6" s="313"/>
      <c r="U6" s="313"/>
      <c r="V6" s="313"/>
      <c r="W6" s="313"/>
    </row>
    <row r="7" spans="1:23" ht="14.1" customHeight="1" x14ac:dyDescent="0.25">
      <c r="A7" s="177">
        <f>ROUNDDOWN(A3,0)+1</f>
        <v>19</v>
      </c>
      <c r="B7" s="289" t="str">
        <f>"Note " &amp;A7&amp; " Revaluations of property, plant and equipment"</f>
        <v>Note 19 Revaluations of property, plant and equipment</v>
      </c>
      <c r="C7" s="313"/>
      <c r="D7" s="313"/>
      <c r="E7" s="313"/>
      <c r="F7" s="313"/>
      <c r="G7" s="313"/>
      <c r="H7" s="313"/>
      <c r="I7" s="313"/>
      <c r="J7" s="313"/>
      <c r="K7" s="313"/>
      <c r="L7" s="313"/>
      <c r="M7" s="313"/>
      <c r="N7" s="313"/>
      <c r="O7" s="313"/>
      <c r="P7" s="313"/>
      <c r="Q7" s="313"/>
      <c r="R7" s="313"/>
      <c r="S7" s="313"/>
      <c r="T7" s="313"/>
      <c r="U7" s="313"/>
      <c r="V7" s="313"/>
      <c r="W7" s="313"/>
    </row>
    <row r="8" spans="1:23" s="21" customFormat="1" ht="54.95" customHeight="1" x14ac:dyDescent="0.2">
      <c r="A8" s="205"/>
      <c r="B8" s="448" t="s">
        <v>1397</v>
      </c>
      <c r="C8" s="448"/>
      <c r="D8" s="448"/>
      <c r="E8" s="448"/>
      <c r="F8" s="448"/>
      <c r="G8" s="448"/>
      <c r="H8" s="448"/>
      <c r="I8" s="448"/>
      <c r="J8" s="313"/>
      <c r="K8" s="313"/>
      <c r="L8" s="313"/>
      <c r="M8" s="313"/>
      <c r="N8" s="313"/>
      <c r="O8" s="313"/>
      <c r="P8" s="313"/>
      <c r="Q8" s="313"/>
      <c r="R8" s="313"/>
      <c r="S8" s="313"/>
      <c r="T8" s="313"/>
      <c r="U8" s="313"/>
      <c r="V8" s="313"/>
      <c r="W8" s="313"/>
    </row>
    <row r="9" spans="1:23" s="100" customFormat="1" ht="38.1" customHeight="1" x14ac:dyDescent="0.2">
      <c r="A9" s="205"/>
      <c r="B9" s="448" t="s">
        <v>1398</v>
      </c>
      <c r="C9" s="448"/>
      <c r="D9" s="448"/>
      <c r="E9" s="448"/>
      <c r="F9" s="448"/>
      <c r="G9" s="448"/>
      <c r="H9" s="448"/>
      <c r="I9" s="448"/>
      <c r="J9" s="313"/>
      <c r="K9" s="313"/>
      <c r="L9" s="313"/>
      <c r="M9" s="313"/>
      <c r="N9" s="313"/>
      <c r="O9" s="313"/>
      <c r="P9" s="313"/>
      <c r="Q9" s="313"/>
      <c r="R9" s="313"/>
      <c r="S9" s="313"/>
      <c r="T9" s="313"/>
      <c r="U9" s="313"/>
      <c r="V9" s="313"/>
      <c r="W9" s="313"/>
    </row>
    <row r="10" spans="1:23" s="21" customFormat="1" ht="14.1" customHeight="1" x14ac:dyDescent="0.2">
      <c r="A10" s="205"/>
      <c r="B10" s="348"/>
      <c r="C10" s="348"/>
      <c r="D10" s="348"/>
      <c r="E10" s="348"/>
      <c r="F10" s="348"/>
      <c r="G10" s="348"/>
      <c r="H10" s="348"/>
      <c r="I10" s="348"/>
      <c r="J10" s="313"/>
      <c r="K10" s="313"/>
      <c r="L10" s="313"/>
      <c r="M10" s="313"/>
      <c r="N10" s="313"/>
      <c r="O10" s="313"/>
      <c r="P10" s="313"/>
      <c r="Q10" s="313"/>
      <c r="R10" s="313"/>
      <c r="S10" s="313"/>
      <c r="T10" s="313"/>
      <c r="U10" s="313"/>
      <c r="V10" s="313"/>
      <c r="W10" s="313"/>
    </row>
    <row r="11" spans="1:23" s="21" customFormat="1" ht="30" customHeight="1" x14ac:dyDescent="0.2">
      <c r="A11" s="205"/>
      <c r="B11" s="448" t="s">
        <v>1405</v>
      </c>
      <c r="C11" s="448"/>
      <c r="D11" s="448"/>
      <c r="E11" s="448"/>
      <c r="F11" s="448"/>
      <c r="G11" s="448"/>
      <c r="H11" s="448"/>
      <c r="I11" s="448"/>
      <c r="J11" s="313"/>
      <c r="K11" s="313"/>
      <c r="L11" s="313"/>
      <c r="M11" s="313"/>
      <c r="N11" s="313"/>
      <c r="O11" s="313"/>
      <c r="P11" s="313"/>
      <c r="Q11" s="313"/>
      <c r="R11" s="313"/>
      <c r="S11" s="313"/>
      <c r="T11" s="313"/>
      <c r="U11" s="313"/>
      <c r="V11" s="313"/>
      <c r="W11" s="313"/>
    </row>
    <row r="12" spans="1:23" s="21" customFormat="1" ht="14.1" customHeight="1" x14ac:dyDescent="0.2">
      <c r="A12" s="205"/>
      <c r="B12" s="348"/>
      <c r="C12" s="348"/>
      <c r="D12" s="348"/>
      <c r="E12" s="348"/>
      <c r="F12" s="348"/>
      <c r="G12" s="348"/>
      <c r="H12" s="348"/>
      <c r="I12" s="348"/>
      <c r="J12" s="313"/>
      <c r="K12" s="313"/>
      <c r="L12" s="313"/>
      <c r="M12" s="313"/>
      <c r="N12" s="313"/>
      <c r="O12" s="313"/>
      <c r="P12" s="313"/>
      <c r="Q12" s="313"/>
      <c r="R12" s="313"/>
      <c r="S12" s="313"/>
      <c r="T12" s="313"/>
      <c r="U12" s="313"/>
      <c r="V12" s="313"/>
      <c r="W12" s="313"/>
    </row>
    <row r="13" spans="1:23" s="21" customFormat="1" ht="14.1" customHeight="1" x14ac:dyDescent="0.2">
      <c r="A13" s="205"/>
      <c r="B13" s="348"/>
      <c r="C13" s="348"/>
      <c r="D13" s="348"/>
      <c r="E13" s="348"/>
      <c r="F13" s="348"/>
      <c r="G13" s="348"/>
      <c r="H13" s="348"/>
      <c r="I13" s="348"/>
      <c r="J13" s="313"/>
      <c r="K13" s="313"/>
      <c r="L13" s="313"/>
      <c r="M13" s="313"/>
      <c r="N13" s="313"/>
      <c r="O13" s="313"/>
      <c r="P13" s="313"/>
      <c r="Q13" s="313"/>
      <c r="R13" s="313"/>
      <c r="S13" s="313"/>
      <c r="T13" s="313"/>
      <c r="U13" s="313"/>
      <c r="V13" s="313"/>
      <c r="W13" s="313"/>
    </row>
    <row r="14" spans="1:23" s="21" customFormat="1" ht="14.1" hidden="1" customHeight="1" x14ac:dyDescent="0.2">
      <c r="A14" s="205">
        <f>ROUNDDOWN('PPE &amp; Inv Prop'!A7,0)+1.1</f>
        <v>20.100000000000001</v>
      </c>
      <c r="B14" s="316" t="str">
        <f>"Note "&amp; A14&amp; " Investment Property"</f>
        <v>Note 20.1 Investment Property</v>
      </c>
      <c r="C14" s="460"/>
      <c r="D14" s="460"/>
      <c r="E14" s="460"/>
      <c r="F14" s="316"/>
      <c r="G14" s="460"/>
      <c r="H14" s="460"/>
      <c r="I14" s="460"/>
      <c r="J14" s="314"/>
      <c r="K14" s="313"/>
      <c r="L14" s="313"/>
      <c r="M14" s="313"/>
      <c r="N14" s="313"/>
      <c r="O14" s="313"/>
      <c r="P14" s="313"/>
      <c r="Q14" s="313"/>
      <c r="R14" s="313"/>
    </row>
    <row r="15" spans="1:23" s="226" customFormat="1" ht="14.1" hidden="1" customHeight="1" x14ac:dyDescent="0.2">
      <c r="A15" s="205"/>
      <c r="B15" s="316"/>
      <c r="C15" s="460" t="s">
        <v>500</v>
      </c>
      <c r="D15" s="460"/>
      <c r="E15" s="460"/>
      <c r="F15" s="316"/>
      <c r="G15" s="460" t="s">
        <v>94</v>
      </c>
      <c r="H15" s="460"/>
      <c r="I15" s="460"/>
      <c r="J15" s="314"/>
      <c r="K15" s="313"/>
      <c r="L15" s="313"/>
      <c r="M15" s="313"/>
      <c r="N15" s="313"/>
      <c r="O15" s="313"/>
      <c r="P15" s="313"/>
      <c r="Q15" s="313"/>
      <c r="R15" s="313"/>
    </row>
    <row r="16" spans="1:23" s="21" customFormat="1" ht="13.7" hidden="1" customHeight="1" x14ac:dyDescent="0.2">
      <c r="A16" s="205"/>
      <c r="B16" s="316"/>
      <c r="C16" s="290" t="str">
        <f>CurrentFY</f>
        <v>2021/22</v>
      </c>
      <c r="D16" s="290"/>
      <c r="E16" s="290" t="str">
        <f>ComparativeFY</f>
        <v>2020/21</v>
      </c>
      <c r="F16" s="316"/>
      <c r="G16" s="290" t="str">
        <f>CurrentFY</f>
        <v>2021/22</v>
      </c>
      <c r="H16" s="290"/>
      <c r="I16" s="290" t="str">
        <f>ComparativeFY</f>
        <v>2020/21</v>
      </c>
      <c r="J16" s="314"/>
      <c r="K16" s="313"/>
      <c r="L16" s="313"/>
      <c r="M16" s="313"/>
      <c r="N16" s="313"/>
      <c r="O16" s="313"/>
      <c r="P16" s="313"/>
      <c r="Q16" s="313"/>
      <c r="R16" s="313"/>
    </row>
    <row r="17" spans="1:18" s="21" customFormat="1" ht="14.1" hidden="1" customHeight="1" x14ac:dyDescent="0.2">
      <c r="A17" s="205"/>
      <c r="B17" s="316"/>
      <c r="C17" s="290" t="s">
        <v>590</v>
      </c>
      <c r="D17" s="290"/>
      <c r="E17" s="290" t="s">
        <v>590</v>
      </c>
      <c r="F17" s="316"/>
      <c r="G17" s="290" t="s">
        <v>590</v>
      </c>
      <c r="H17" s="290"/>
      <c r="I17" s="290" t="s">
        <v>590</v>
      </c>
      <c r="J17" s="314"/>
      <c r="K17" s="313"/>
      <c r="L17" s="313"/>
      <c r="M17" s="313"/>
      <c r="N17" s="313"/>
      <c r="O17" s="313"/>
      <c r="P17" s="313"/>
      <c r="Q17" s="313"/>
      <c r="R17" s="313"/>
    </row>
    <row r="18" spans="1:18" s="235" customFormat="1" ht="14.1" hidden="1" customHeight="1" x14ac:dyDescent="0.2">
      <c r="A18" s="205"/>
      <c r="B18" s="316" t="s">
        <v>976</v>
      </c>
      <c r="C18" s="220">
        <f>E28</f>
        <v>0</v>
      </c>
      <c r="D18" s="290"/>
      <c r="E18" s="220">
        <v>0</v>
      </c>
      <c r="F18" s="316"/>
      <c r="G18" s="220">
        <f>I28</f>
        <v>0</v>
      </c>
      <c r="H18" s="290"/>
      <c r="I18" s="220"/>
      <c r="J18" s="314"/>
      <c r="K18" s="313"/>
      <c r="L18" s="313"/>
      <c r="M18" s="313"/>
      <c r="N18" s="313"/>
      <c r="O18" s="313"/>
      <c r="P18" s="313"/>
      <c r="Q18" s="313"/>
      <c r="R18" s="313"/>
    </row>
    <row r="19" spans="1:18" s="235" customFormat="1" ht="13.7" hidden="1" customHeight="1" x14ac:dyDescent="0.2">
      <c r="A19" s="205"/>
      <c r="B19" s="327" t="s">
        <v>542</v>
      </c>
      <c r="C19" s="219"/>
      <c r="D19" s="290"/>
      <c r="E19" s="219">
        <v>0</v>
      </c>
      <c r="F19" s="316"/>
      <c r="G19" s="219"/>
      <c r="H19" s="290"/>
      <c r="I19" s="219"/>
      <c r="J19" s="314"/>
      <c r="K19" s="313"/>
      <c r="L19" s="313"/>
      <c r="M19" s="313"/>
      <c r="N19" s="313"/>
      <c r="O19" s="313"/>
      <c r="P19" s="313"/>
      <c r="Q19" s="313"/>
      <c r="R19" s="313"/>
    </row>
    <row r="20" spans="1:18" s="21" customFormat="1" ht="14.1" hidden="1" customHeight="1" x14ac:dyDescent="0.2">
      <c r="A20" s="205"/>
      <c r="B20" s="316" t="str">
        <f>"Carrying value at 1 April - restated"</f>
        <v>Carrying value at 1 April - restated</v>
      </c>
      <c r="C20" s="207">
        <f>SUM(C18:C19)</f>
        <v>0</v>
      </c>
      <c r="D20" s="316"/>
      <c r="E20" s="207">
        <f>SUM(E18:E19)</f>
        <v>0</v>
      </c>
      <c r="F20" s="316"/>
      <c r="G20" s="207">
        <f>SUM(G18:G19)</f>
        <v>0</v>
      </c>
      <c r="H20" s="316"/>
      <c r="I20" s="207">
        <f>SUM(I18:I19)</f>
        <v>0</v>
      </c>
      <c r="J20" s="179"/>
      <c r="K20" s="313"/>
      <c r="L20" s="313"/>
      <c r="M20" s="313"/>
      <c r="N20" s="313"/>
      <c r="O20" s="313"/>
      <c r="P20" s="313"/>
      <c r="Q20" s="313"/>
      <c r="R20" s="313"/>
    </row>
    <row r="21" spans="1:18" s="21" customFormat="1" ht="14.1" hidden="1" customHeight="1" x14ac:dyDescent="0.2">
      <c r="A21" s="205"/>
      <c r="B21" s="316" t="s">
        <v>977</v>
      </c>
      <c r="C21" s="220">
        <v>0</v>
      </c>
      <c r="D21" s="316"/>
      <c r="E21" s="220">
        <v>0</v>
      </c>
      <c r="F21" s="316"/>
      <c r="G21" s="220"/>
      <c r="H21" s="316"/>
      <c r="I21" s="220"/>
      <c r="J21" s="104"/>
      <c r="K21" s="270" t="s">
        <v>592</v>
      </c>
      <c r="L21" s="313"/>
      <c r="M21" s="313"/>
      <c r="N21" s="313"/>
      <c r="O21" s="313"/>
      <c r="P21" s="313"/>
      <c r="Q21" s="313"/>
      <c r="R21" s="313"/>
    </row>
    <row r="22" spans="1:18" s="21" customFormat="1" ht="14.1" hidden="1" customHeight="1" x14ac:dyDescent="0.2">
      <c r="A22" s="205"/>
      <c r="B22" s="327" t="s">
        <v>955</v>
      </c>
      <c r="C22" s="219">
        <v>0</v>
      </c>
      <c r="D22" s="316"/>
      <c r="E22" s="219">
        <v>0</v>
      </c>
      <c r="F22" s="316"/>
      <c r="G22" s="219"/>
      <c r="H22" s="316"/>
      <c r="I22" s="219"/>
      <c r="J22" s="314"/>
      <c r="K22" s="313"/>
      <c r="L22" s="313"/>
      <c r="M22" s="313"/>
      <c r="N22" s="313"/>
      <c r="O22" s="313"/>
      <c r="P22" s="313"/>
      <c r="Q22" s="313"/>
      <c r="R22" s="313"/>
    </row>
    <row r="23" spans="1:18" s="21" customFormat="1" ht="14.1" hidden="1" customHeight="1" x14ac:dyDescent="0.2">
      <c r="A23" s="205"/>
      <c r="B23" s="327" t="s">
        <v>978</v>
      </c>
      <c r="C23" s="219">
        <v>0</v>
      </c>
      <c r="D23" s="316"/>
      <c r="E23" s="219">
        <v>0</v>
      </c>
      <c r="F23" s="316"/>
      <c r="G23" s="219"/>
      <c r="H23" s="316"/>
      <c r="I23" s="219"/>
      <c r="J23" s="314"/>
      <c r="K23" s="313"/>
      <c r="L23" s="313"/>
      <c r="M23" s="313"/>
      <c r="N23" s="313"/>
      <c r="O23" s="313"/>
      <c r="P23" s="313"/>
      <c r="Q23" s="313"/>
      <c r="R23" s="313"/>
    </row>
    <row r="24" spans="1:18" s="21" customFormat="1" ht="14.1" hidden="1" customHeight="1" x14ac:dyDescent="0.2">
      <c r="A24" s="205"/>
      <c r="B24" s="327" t="s">
        <v>979</v>
      </c>
      <c r="C24" s="219">
        <v>0</v>
      </c>
      <c r="D24" s="316"/>
      <c r="E24" s="219">
        <v>0</v>
      </c>
      <c r="F24" s="316"/>
      <c r="G24" s="219"/>
      <c r="H24" s="316"/>
      <c r="I24" s="219"/>
      <c r="J24" s="314"/>
      <c r="K24" s="313"/>
      <c r="L24" s="313"/>
      <c r="M24" s="313"/>
      <c r="N24" s="313"/>
      <c r="O24" s="313"/>
      <c r="P24" s="313"/>
      <c r="Q24" s="313"/>
      <c r="R24" s="313"/>
    </row>
    <row r="25" spans="1:18" s="21" customFormat="1" ht="14.1" hidden="1" customHeight="1" x14ac:dyDescent="0.2">
      <c r="A25" s="205"/>
      <c r="B25" s="327" t="s">
        <v>980</v>
      </c>
      <c r="C25" s="219">
        <v>0</v>
      </c>
      <c r="D25" s="316"/>
      <c r="E25" s="219">
        <v>0</v>
      </c>
      <c r="F25" s="316"/>
      <c r="G25" s="219"/>
      <c r="H25" s="316"/>
      <c r="I25" s="219"/>
      <c r="J25" s="314"/>
      <c r="K25" s="313"/>
      <c r="L25" s="313"/>
      <c r="M25" s="313"/>
      <c r="N25" s="313"/>
      <c r="O25" s="313"/>
      <c r="P25" s="313"/>
      <c r="Q25" s="313"/>
      <c r="R25" s="313"/>
    </row>
    <row r="26" spans="1:18" s="21" customFormat="1" ht="13.7" hidden="1" customHeight="1" x14ac:dyDescent="0.2">
      <c r="A26" s="205"/>
      <c r="B26" s="327" t="s">
        <v>981</v>
      </c>
      <c r="C26" s="219">
        <v>0</v>
      </c>
      <c r="D26" s="316"/>
      <c r="E26" s="219">
        <v>0</v>
      </c>
      <c r="F26" s="316"/>
      <c r="G26" s="219"/>
      <c r="H26" s="316"/>
      <c r="I26" s="219"/>
      <c r="J26" s="314"/>
      <c r="K26" s="313"/>
      <c r="L26" s="313"/>
      <c r="M26" s="313"/>
      <c r="N26" s="313"/>
      <c r="O26" s="313"/>
      <c r="P26" s="313"/>
      <c r="Q26" s="313"/>
      <c r="R26" s="313"/>
    </row>
    <row r="27" spans="1:18" s="21" customFormat="1" ht="14.1" hidden="1" customHeight="1" x14ac:dyDescent="0.2">
      <c r="A27" s="205"/>
      <c r="B27" s="327" t="s">
        <v>982</v>
      </c>
      <c r="C27" s="219">
        <v>0</v>
      </c>
      <c r="D27" s="316"/>
      <c r="E27" s="219">
        <v>0</v>
      </c>
      <c r="F27" s="316"/>
      <c r="G27" s="219"/>
      <c r="H27" s="316"/>
      <c r="I27" s="219"/>
      <c r="J27" s="314"/>
      <c r="K27" s="313"/>
      <c r="L27" s="313"/>
      <c r="M27" s="313"/>
      <c r="N27" s="313"/>
      <c r="O27" s="313"/>
      <c r="P27" s="313"/>
      <c r="Q27" s="313"/>
      <c r="R27" s="313"/>
    </row>
    <row r="28" spans="1:18" s="21" customFormat="1" ht="14.1" hidden="1" customHeight="1" thickBot="1" x14ac:dyDescent="0.25">
      <c r="A28" s="205"/>
      <c r="B28" s="289" t="str">
        <f>"Carrying value at 31 March"</f>
        <v>Carrying value at 31 March</v>
      </c>
      <c r="C28" s="206">
        <f>SUM(C20:C27)</f>
        <v>0</v>
      </c>
      <c r="D28" s="316"/>
      <c r="E28" s="206">
        <f>SUM(E20:E27)</f>
        <v>0</v>
      </c>
      <c r="F28" s="316"/>
      <c r="G28" s="206">
        <f>SUM(G20:G27)</f>
        <v>0</v>
      </c>
      <c r="H28" s="316"/>
      <c r="I28" s="206">
        <f>SUM(I20:I27)</f>
        <v>0</v>
      </c>
      <c r="J28" s="179"/>
      <c r="K28" s="170"/>
      <c r="L28" s="170"/>
      <c r="M28" s="313"/>
      <c r="N28" s="313"/>
      <c r="O28" s="313"/>
      <c r="P28" s="313"/>
      <c r="Q28" s="313"/>
      <c r="R28" s="313"/>
    </row>
    <row r="29" spans="1:18" s="21" customFormat="1" ht="14.1" hidden="1" customHeight="1" thickTop="1" x14ac:dyDescent="0.2">
      <c r="A29" s="205"/>
      <c r="B29" s="316"/>
      <c r="C29" s="313"/>
      <c r="D29" s="316"/>
      <c r="E29" s="316"/>
      <c r="F29" s="316"/>
      <c r="G29" s="313"/>
      <c r="H29" s="316"/>
      <c r="I29" s="316"/>
      <c r="J29" s="314"/>
      <c r="K29" s="313"/>
      <c r="L29" s="313"/>
      <c r="M29" s="313"/>
      <c r="N29" s="313"/>
      <c r="O29" s="313"/>
      <c r="P29" s="313"/>
      <c r="Q29" s="313"/>
      <c r="R29" s="313"/>
    </row>
    <row r="30" spans="1:18" s="21" customFormat="1" ht="14.1" hidden="1" customHeight="1" x14ac:dyDescent="0.2">
      <c r="A30" s="205"/>
      <c r="B30" s="316"/>
      <c r="C30" s="313"/>
      <c r="D30" s="316"/>
      <c r="E30" s="316"/>
      <c r="F30" s="316"/>
      <c r="G30" s="313"/>
      <c r="H30" s="316"/>
      <c r="I30" s="316"/>
      <c r="J30" s="314"/>
      <c r="K30" s="313"/>
      <c r="L30" s="313"/>
      <c r="M30" s="313"/>
      <c r="N30" s="313"/>
      <c r="O30" s="313"/>
      <c r="P30" s="313"/>
      <c r="Q30" s="313"/>
      <c r="R30" s="313"/>
    </row>
    <row r="31" spans="1:18" s="21" customFormat="1" ht="14.1" hidden="1" customHeight="1" x14ac:dyDescent="0.2">
      <c r="A31" s="205">
        <f>A14+0.1</f>
        <v>20.200000000000003</v>
      </c>
      <c r="B31" s="289" t="str">
        <f>"Note "&amp;A31&amp; " Investment property income and expenses (Group) "</f>
        <v xml:space="preserve">Note 20.2 Investment property income and expenses (Group) </v>
      </c>
      <c r="C31" s="313"/>
      <c r="D31" s="203"/>
      <c r="E31" s="203"/>
      <c r="F31" s="203"/>
      <c r="G31" s="204"/>
      <c r="H31" s="178"/>
      <c r="I31" s="178"/>
      <c r="J31" s="204"/>
      <c r="K31" s="313"/>
      <c r="L31" s="314"/>
      <c r="M31" s="314"/>
      <c r="N31" s="313"/>
      <c r="O31" s="313"/>
      <c r="P31" s="313"/>
      <c r="Q31" s="313"/>
      <c r="R31" s="313"/>
    </row>
    <row r="32" spans="1:18" s="21" customFormat="1" ht="14.1" hidden="1" customHeight="1" x14ac:dyDescent="0.2">
      <c r="A32" s="205"/>
      <c r="B32" s="313"/>
      <c r="C32" s="313"/>
      <c r="D32" s="313"/>
      <c r="E32" s="313"/>
      <c r="F32" s="313"/>
      <c r="G32" s="290" t="str">
        <f>CurrentFY</f>
        <v>2021/22</v>
      </c>
      <c r="H32" s="290"/>
      <c r="I32" s="290" t="str">
        <f>ComparativeFY</f>
        <v>2020/21</v>
      </c>
      <c r="J32" s="313"/>
      <c r="K32" s="313"/>
      <c r="L32" s="313"/>
      <c r="M32" s="313"/>
      <c r="N32" s="313"/>
      <c r="O32" s="313"/>
      <c r="P32" s="313"/>
      <c r="Q32" s="313"/>
      <c r="R32" s="313"/>
    </row>
    <row r="33" spans="1:18" s="21" customFormat="1" ht="14.1" hidden="1" customHeight="1" x14ac:dyDescent="0.2">
      <c r="A33" s="205"/>
      <c r="B33" s="313"/>
      <c r="C33" s="313"/>
      <c r="D33" s="313"/>
      <c r="E33" s="313"/>
      <c r="F33" s="313"/>
      <c r="G33" s="290" t="s">
        <v>590</v>
      </c>
      <c r="H33" s="290"/>
      <c r="I33" s="290" t="s">
        <v>590</v>
      </c>
      <c r="J33" s="313"/>
      <c r="K33" s="313"/>
      <c r="L33" s="313"/>
      <c r="M33" s="313"/>
      <c r="N33" s="313"/>
      <c r="O33" s="313"/>
      <c r="P33" s="313"/>
      <c r="Q33" s="313"/>
      <c r="R33" s="313"/>
    </row>
    <row r="34" spans="1:18" s="21" customFormat="1" ht="25.5" hidden="1" customHeight="1" x14ac:dyDescent="0.2">
      <c r="A34" s="205"/>
      <c r="B34" s="468" t="s">
        <v>983</v>
      </c>
      <c r="C34" s="468"/>
      <c r="D34" s="468"/>
      <c r="E34" s="468"/>
      <c r="F34" s="313"/>
      <c r="G34" s="219"/>
      <c r="H34" s="219"/>
      <c r="I34" s="219"/>
      <c r="J34" s="313"/>
      <c r="K34" s="313"/>
      <c r="L34" s="313"/>
      <c r="M34" s="313"/>
      <c r="N34" s="313"/>
      <c r="O34" s="313"/>
      <c r="P34" s="313"/>
      <c r="Q34" s="313"/>
      <c r="R34" s="313"/>
    </row>
    <row r="35" spans="1:18" s="21" customFormat="1" ht="25.5" hidden="1" customHeight="1" x14ac:dyDescent="0.2">
      <c r="A35" s="205"/>
      <c r="B35" s="468" t="s">
        <v>984</v>
      </c>
      <c r="C35" s="468"/>
      <c r="D35" s="468"/>
      <c r="E35" s="468"/>
      <c r="F35" s="313"/>
      <c r="G35" s="219"/>
      <c r="H35" s="219"/>
      <c r="I35" s="219"/>
      <c r="J35" s="313"/>
      <c r="K35" s="313"/>
      <c r="L35" s="313"/>
      <c r="M35" s="313"/>
      <c r="N35" s="313"/>
      <c r="O35" s="313"/>
      <c r="P35" s="313"/>
      <c r="Q35" s="313"/>
      <c r="R35" s="313"/>
    </row>
    <row r="36" spans="1:18" s="21" customFormat="1" ht="14.1" hidden="1" customHeight="1" x14ac:dyDescent="0.2">
      <c r="A36" s="205"/>
      <c r="B36" s="316" t="s">
        <v>985</v>
      </c>
      <c r="C36" s="321"/>
      <c r="D36" s="321"/>
      <c r="E36" s="321"/>
      <c r="F36" s="313"/>
      <c r="G36" s="207">
        <f>SUM(G34:G35)</f>
        <v>0</v>
      </c>
      <c r="H36" s="219"/>
      <c r="I36" s="207">
        <f>SUM(I34:I35)</f>
        <v>0</v>
      </c>
      <c r="J36" s="313"/>
      <c r="K36" s="313"/>
      <c r="L36" s="313"/>
      <c r="M36" s="313"/>
      <c r="N36" s="313"/>
      <c r="O36" s="313"/>
      <c r="P36" s="313"/>
      <c r="Q36" s="313"/>
      <c r="R36" s="313"/>
    </row>
    <row r="37" spans="1:18" s="21" customFormat="1" ht="14.1" hidden="1" customHeight="1" x14ac:dyDescent="0.2">
      <c r="A37" s="205"/>
      <c r="B37" s="327" t="s">
        <v>986</v>
      </c>
      <c r="C37" s="313"/>
      <c r="D37" s="313"/>
      <c r="E37" s="313"/>
      <c r="F37" s="313"/>
      <c r="G37" s="219"/>
      <c r="H37" s="219"/>
      <c r="I37" s="219"/>
      <c r="J37" s="313"/>
      <c r="K37" s="313"/>
      <c r="L37" s="313"/>
      <c r="M37" s="313"/>
      <c r="N37" s="313"/>
      <c r="O37" s="313"/>
      <c r="P37" s="313"/>
      <c r="Q37" s="313"/>
      <c r="R37" s="313"/>
    </row>
    <row r="38" spans="1:18" s="21" customFormat="1" ht="14.1" hidden="1" customHeight="1" x14ac:dyDescent="0.2">
      <c r="A38" s="205"/>
    </row>
    <row r="39" spans="1:18" s="21" customFormat="1" ht="14.1" customHeight="1" x14ac:dyDescent="0.2">
      <c r="A39" s="205"/>
    </row>
    <row r="40" spans="1:18" s="21" customFormat="1" ht="14.1" customHeight="1" x14ac:dyDescent="0.2">
      <c r="A40" s="205"/>
    </row>
    <row r="41" spans="1:18" s="21" customFormat="1" ht="14.1" customHeight="1" x14ac:dyDescent="0.2">
      <c r="A41" s="205"/>
    </row>
    <row r="42" spans="1:18" s="21" customFormat="1" ht="14.1" customHeight="1" x14ac:dyDescent="0.2">
      <c r="A42" s="205"/>
    </row>
    <row r="43" spans="1:18" s="21" customFormat="1" ht="14.1" customHeight="1" x14ac:dyDescent="0.2">
      <c r="A43" s="205"/>
    </row>
    <row r="44" spans="1:18" s="21" customFormat="1" ht="14.1" customHeight="1" x14ac:dyDescent="0.2">
      <c r="A44" s="205"/>
    </row>
    <row r="45" spans="1:18" s="21" customFormat="1" ht="14.1" customHeight="1" x14ac:dyDescent="0.2">
      <c r="A45" s="205"/>
    </row>
    <row r="46" spans="1:18" s="21" customFormat="1" ht="14.1" customHeight="1" x14ac:dyDescent="0.2">
      <c r="A46" s="205"/>
    </row>
    <row r="47" spans="1:18" s="21" customFormat="1" ht="14.1" customHeight="1" x14ac:dyDescent="0.2">
      <c r="A47" s="205"/>
    </row>
  </sheetData>
  <customSheetViews>
    <customSheetView guid="{EDC1BD6E-863A-4FC6-A3A9-F32079F4F0C1}">
      <selection activeCell="F28" sqref="F28"/>
      <pageMargins left="0" right="0" top="0" bottom="0" header="0" footer="0"/>
      <pageSetup paperSize="9" orientation="portrait" verticalDpi="0" r:id="rId1"/>
    </customSheetView>
  </customSheetViews>
  <mergeCells count="10">
    <mergeCell ref="B4:I4"/>
    <mergeCell ref="C14:E14"/>
    <mergeCell ref="G14:I14"/>
    <mergeCell ref="B34:E34"/>
    <mergeCell ref="B35:E35"/>
    <mergeCell ref="C15:E15"/>
    <mergeCell ref="G15:I15"/>
    <mergeCell ref="B8:I8"/>
    <mergeCell ref="B9:I9"/>
    <mergeCell ref="B11:I11"/>
  </mergeCells>
  <pageMargins left="0.70866141732283472" right="0.70866141732283472" top="0.74803149606299213" bottom="0.74803149606299213" header="0.31496062992125984" footer="0.31496062992125984"/>
  <pageSetup paperSize="9" fitToHeight="0" orientation="portrait" verticalDpi="0" r:id="rId2"/>
  <headerFooter>
    <oddFooter>&amp;RPage &amp;P of &amp;N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52">
    <pageSetUpPr fitToPage="1"/>
  </sheetPr>
  <dimension ref="A1:P71"/>
  <sheetViews>
    <sheetView showGridLines="0" zoomScaleNormal="100" workbookViewId="0">
      <selection activeCell="N23" sqref="N23"/>
    </sheetView>
  </sheetViews>
  <sheetFormatPr defaultColWidth="9.140625" defaultRowHeight="14.1" customHeight="1" x14ac:dyDescent="0.2"/>
  <cols>
    <col min="1" max="1" width="1.42578125" style="38" customWidth="1"/>
    <col min="2" max="2" width="51.42578125" style="141" customWidth="1"/>
    <col min="3" max="3" width="10.7109375" style="141" customWidth="1"/>
    <col min="4" max="4" width="0.7109375" style="141" customWidth="1"/>
    <col min="5" max="5" width="10.7109375" style="141" customWidth="1"/>
    <col min="6" max="6" width="1" style="141" customWidth="1"/>
    <col min="7" max="7" width="10.7109375" style="169" hidden="1" customWidth="1"/>
    <col min="8" max="8" width="0.7109375" style="169" hidden="1" customWidth="1"/>
    <col min="9" max="9" width="10.7109375" style="169" hidden="1" customWidth="1"/>
    <col min="10" max="16384" width="9.140625" style="141"/>
  </cols>
  <sheetData>
    <row r="1" spans="1:16" s="313" customFormat="1" ht="14.1" customHeight="1" x14ac:dyDescent="0.2">
      <c r="A1" s="350" t="s">
        <v>1310</v>
      </c>
      <c r="B1" s="351"/>
      <c r="C1" s="351"/>
      <c r="D1" s="351"/>
      <c r="E1" s="351"/>
      <c r="F1" s="351"/>
      <c r="G1" s="351"/>
      <c r="H1" s="351"/>
      <c r="I1" s="351"/>
    </row>
    <row r="2" spans="1:16" s="313" customFormat="1" ht="14.1" customHeight="1" x14ac:dyDescent="0.2">
      <c r="A2" s="205"/>
    </row>
    <row r="3" spans="1:16" ht="14.1" customHeight="1" x14ac:dyDescent="0.2">
      <c r="A3" s="205">
        <f>ROUNDDOWN('PPE &amp; Inv Prop'!A7,0)+1.1</f>
        <v>20.100000000000001</v>
      </c>
      <c r="B3" s="289" t="str">
        <f>"Note "&amp; A3&amp; " Investments in associates and joint ventures"</f>
        <v>Note 20.1 Investments in associates and joint ventures</v>
      </c>
      <c r="C3" s="326"/>
      <c r="D3" s="326"/>
      <c r="E3" s="326"/>
      <c r="F3" s="316"/>
      <c r="G3" s="326"/>
      <c r="H3" s="326"/>
      <c r="I3" s="326"/>
      <c r="J3" s="313"/>
      <c r="K3" s="313"/>
      <c r="L3" s="313"/>
      <c r="M3" s="313"/>
      <c r="N3" s="313"/>
      <c r="O3" s="313"/>
      <c r="P3" s="313"/>
    </row>
    <row r="4" spans="1:16" s="224" customFormat="1" ht="14.1" customHeight="1" x14ac:dyDescent="0.2">
      <c r="A4" s="205"/>
      <c r="B4" s="289"/>
      <c r="C4" s="460" t="s">
        <v>500</v>
      </c>
      <c r="D4" s="460"/>
      <c r="E4" s="460"/>
      <c r="F4" s="316"/>
      <c r="G4" s="460" t="s">
        <v>94</v>
      </c>
      <c r="H4" s="460"/>
      <c r="I4" s="460"/>
      <c r="J4" s="313"/>
      <c r="K4" s="313"/>
      <c r="L4" s="313"/>
      <c r="M4" s="313"/>
      <c r="N4" s="313"/>
      <c r="O4" s="313"/>
      <c r="P4" s="313"/>
    </row>
    <row r="5" spans="1:16" ht="13.7" customHeight="1" x14ac:dyDescent="0.2">
      <c r="A5" s="205"/>
      <c r="B5" s="316"/>
      <c r="C5" s="290" t="str">
        <f>CurrentFY</f>
        <v>2021/22</v>
      </c>
      <c r="D5" s="290"/>
      <c r="E5" s="290" t="str">
        <f>ComparativeFY</f>
        <v>2020/21</v>
      </c>
      <c r="F5" s="313"/>
      <c r="G5" s="290" t="str">
        <f>CurrentFY</f>
        <v>2021/22</v>
      </c>
      <c r="H5" s="290"/>
      <c r="I5" s="290" t="str">
        <f>ComparativeFY</f>
        <v>2020/21</v>
      </c>
      <c r="J5" s="324"/>
      <c r="K5" s="324"/>
      <c r="L5" s="324"/>
      <c r="M5" s="324"/>
      <c r="N5" s="324"/>
      <c r="O5" s="324"/>
      <c r="P5" s="324"/>
    </row>
    <row r="6" spans="1:16" ht="14.1" customHeight="1" x14ac:dyDescent="0.2">
      <c r="A6" s="205"/>
      <c r="B6" s="316"/>
      <c r="C6" s="290" t="s">
        <v>590</v>
      </c>
      <c r="D6" s="290"/>
      <c r="E6" s="290" t="s">
        <v>590</v>
      </c>
      <c r="F6" s="313"/>
      <c r="G6" s="290" t="s">
        <v>590</v>
      </c>
      <c r="H6" s="290"/>
      <c r="I6" s="290" t="s">
        <v>590</v>
      </c>
      <c r="J6" s="324"/>
      <c r="K6" s="324"/>
      <c r="L6" s="324"/>
      <c r="M6" s="324"/>
      <c r="N6" s="324"/>
      <c r="O6" s="324"/>
      <c r="P6" s="324"/>
    </row>
    <row r="7" spans="1:16" s="235" customFormat="1" ht="14.1" customHeight="1" x14ac:dyDescent="0.2">
      <c r="A7" s="205"/>
      <c r="B7" s="316" t="str">
        <f>"Carrying value at 1 April - brought forward"</f>
        <v>Carrying value at 1 April - brought forward</v>
      </c>
      <c r="C7" s="220">
        <f>E20</f>
        <v>780.02242000000001</v>
      </c>
      <c r="D7" s="290"/>
      <c r="E7" s="220">
        <v>752.02242000000001</v>
      </c>
      <c r="F7" s="313"/>
      <c r="G7" s="220">
        <f>I20</f>
        <v>0</v>
      </c>
      <c r="H7" s="290"/>
      <c r="I7" s="220"/>
      <c r="J7" s="324"/>
      <c r="K7" s="324"/>
      <c r="L7" s="324"/>
      <c r="M7" s="324"/>
      <c r="N7" s="324"/>
      <c r="O7" s="324"/>
      <c r="P7" s="324"/>
    </row>
    <row r="8" spans="1:16" s="235" customFormat="1" ht="14.1" hidden="1" customHeight="1" x14ac:dyDescent="0.2">
      <c r="A8" s="205"/>
      <c r="B8" s="327" t="s">
        <v>542</v>
      </c>
      <c r="C8" s="219"/>
      <c r="D8" s="290"/>
      <c r="E8" s="219">
        <v>0</v>
      </c>
      <c r="F8" s="313"/>
      <c r="G8" s="219"/>
      <c r="H8" s="219"/>
      <c r="I8" s="219"/>
      <c r="J8" s="324"/>
      <c r="K8" s="324"/>
      <c r="L8" s="324"/>
      <c r="M8" s="324"/>
      <c r="N8" s="324"/>
      <c r="O8" s="324"/>
      <c r="P8" s="324"/>
    </row>
    <row r="9" spans="1:16" ht="14.1" customHeight="1" x14ac:dyDescent="0.2">
      <c r="A9" s="205"/>
      <c r="B9" s="316" t="str">
        <f>"Carrying value at 1 April - restated"</f>
        <v>Carrying value at 1 April - restated</v>
      </c>
      <c r="C9" s="207">
        <f>SUM(C7:C8)</f>
        <v>780.02242000000001</v>
      </c>
      <c r="D9" s="313"/>
      <c r="E9" s="207">
        <f>SUM(E7:E8)</f>
        <v>752.02242000000001</v>
      </c>
      <c r="F9" s="313"/>
      <c r="G9" s="207">
        <f>SUM(G7:G8)</f>
        <v>0</v>
      </c>
      <c r="H9" s="313"/>
      <c r="I9" s="207">
        <f>SUM(I7:I8)</f>
        <v>0</v>
      </c>
      <c r="J9" s="324"/>
      <c r="K9" s="324"/>
      <c r="L9" s="324"/>
      <c r="M9" s="324"/>
      <c r="N9" s="324"/>
      <c r="O9" s="324"/>
      <c r="P9" s="324"/>
    </row>
    <row r="10" spans="1:16" ht="14.1" hidden="1" customHeight="1" x14ac:dyDescent="0.2">
      <c r="A10" s="205"/>
      <c r="B10" s="316" t="s">
        <v>977</v>
      </c>
      <c r="C10" s="220">
        <v>0</v>
      </c>
      <c r="D10" s="170"/>
      <c r="E10" s="220">
        <v>0</v>
      </c>
      <c r="F10" s="170"/>
      <c r="G10" s="220"/>
      <c r="H10" s="170"/>
      <c r="I10" s="220"/>
      <c r="J10" s="104"/>
      <c r="K10" s="271" t="s">
        <v>592</v>
      </c>
      <c r="L10" s="324"/>
      <c r="M10" s="324"/>
      <c r="N10" s="324"/>
      <c r="O10" s="324"/>
      <c r="P10" s="324"/>
    </row>
    <row r="11" spans="1:16" ht="14.1" hidden="1" customHeight="1" x14ac:dyDescent="0.2">
      <c r="A11" s="205"/>
      <c r="B11" s="327" t="s">
        <v>955</v>
      </c>
      <c r="C11" s="304">
        <v>0</v>
      </c>
      <c r="D11" s="313"/>
      <c r="E11" s="219">
        <v>0</v>
      </c>
      <c r="F11" s="313"/>
      <c r="G11" s="219"/>
      <c r="H11" s="313"/>
      <c r="I11" s="219"/>
      <c r="J11" s="324"/>
      <c r="K11" s="324"/>
      <c r="L11" s="324"/>
      <c r="M11" s="324"/>
      <c r="N11" s="324"/>
      <c r="O11" s="324"/>
      <c r="P11" s="324"/>
    </row>
    <row r="12" spans="1:16" ht="14.1" hidden="1" customHeight="1" x14ac:dyDescent="0.2">
      <c r="A12" s="205"/>
      <c r="B12" s="327" t="s">
        <v>978</v>
      </c>
      <c r="C12" s="304">
        <v>0</v>
      </c>
      <c r="D12" s="313"/>
      <c r="E12" s="219">
        <v>0</v>
      </c>
      <c r="F12" s="313"/>
      <c r="G12" s="219"/>
      <c r="H12" s="313"/>
      <c r="I12" s="219"/>
      <c r="J12" s="314"/>
      <c r="K12" s="313"/>
      <c r="L12" s="313"/>
      <c r="M12" s="313"/>
      <c r="N12" s="313"/>
      <c r="O12" s="313"/>
      <c r="P12" s="313"/>
    </row>
    <row r="13" spans="1:16" ht="14.1" customHeight="1" x14ac:dyDescent="0.2">
      <c r="A13" s="205"/>
      <c r="B13" s="327" t="s">
        <v>1454</v>
      </c>
      <c r="C13" s="304">
        <v>203</v>
      </c>
      <c r="D13" s="313"/>
      <c r="E13" s="219">
        <v>108</v>
      </c>
      <c r="F13" s="313"/>
      <c r="G13" s="219"/>
      <c r="H13" s="313"/>
      <c r="I13" s="219"/>
      <c r="J13" s="314"/>
      <c r="K13" s="313"/>
      <c r="L13" s="313"/>
      <c r="M13" s="313"/>
      <c r="N13" s="313"/>
      <c r="O13" s="313"/>
      <c r="P13" s="313"/>
    </row>
    <row r="14" spans="1:16" ht="14.1" hidden="1" customHeight="1" x14ac:dyDescent="0.2">
      <c r="A14" s="205"/>
      <c r="B14" s="327" t="s">
        <v>611</v>
      </c>
      <c r="C14" s="304">
        <v>0</v>
      </c>
      <c r="D14" s="313"/>
      <c r="E14" s="219">
        <v>0</v>
      </c>
      <c r="F14" s="313"/>
      <c r="G14" s="219"/>
      <c r="H14" s="313"/>
      <c r="I14" s="219"/>
      <c r="J14" s="314"/>
      <c r="K14" s="313"/>
      <c r="L14" s="313"/>
      <c r="M14" s="313"/>
      <c r="N14" s="313"/>
      <c r="O14" s="313"/>
      <c r="P14" s="313"/>
    </row>
    <row r="15" spans="1:16" ht="13.7" hidden="1" customHeight="1" x14ac:dyDescent="0.2">
      <c r="A15" s="205"/>
      <c r="B15" s="327" t="s">
        <v>960</v>
      </c>
      <c r="C15" s="304">
        <v>0</v>
      </c>
      <c r="D15" s="313"/>
      <c r="E15" s="219">
        <v>0</v>
      </c>
      <c r="F15" s="313"/>
      <c r="G15" s="219"/>
      <c r="H15" s="313"/>
      <c r="I15" s="219"/>
      <c r="J15" s="314"/>
      <c r="K15" s="313"/>
      <c r="L15" s="313"/>
      <c r="M15" s="313"/>
      <c r="N15" s="313"/>
      <c r="O15" s="313"/>
      <c r="P15" s="313"/>
    </row>
    <row r="16" spans="1:16" ht="13.7" hidden="1" customHeight="1" x14ac:dyDescent="0.2">
      <c r="A16" s="205"/>
      <c r="B16" s="327" t="s">
        <v>987</v>
      </c>
      <c r="C16" s="304">
        <v>0</v>
      </c>
      <c r="D16" s="313"/>
      <c r="E16" s="219">
        <v>0</v>
      </c>
      <c r="F16" s="313"/>
      <c r="G16" s="219"/>
      <c r="H16" s="313"/>
      <c r="I16" s="219"/>
      <c r="J16" s="314"/>
      <c r="K16" s="313"/>
      <c r="L16" s="313"/>
      <c r="M16" s="313"/>
      <c r="N16" s="313"/>
      <c r="O16" s="313"/>
      <c r="P16" s="313"/>
    </row>
    <row r="17" spans="1:16" ht="14.1" hidden="1" customHeight="1" x14ac:dyDescent="0.2">
      <c r="A17" s="205"/>
      <c r="B17" s="327" t="s">
        <v>982</v>
      </c>
      <c r="C17" s="304">
        <v>0</v>
      </c>
      <c r="D17" s="313"/>
      <c r="E17" s="219">
        <v>0</v>
      </c>
      <c r="F17" s="313"/>
      <c r="G17" s="219"/>
      <c r="H17" s="313"/>
      <c r="I17" s="219"/>
      <c r="J17" s="314"/>
      <c r="K17" s="313"/>
      <c r="L17" s="313"/>
      <c r="M17" s="313"/>
      <c r="N17" s="313"/>
      <c r="O17" s="313"/>
      <c r="P17" s="313"/>
    </row>
    <row r="18" spans="1:16" ht="13.7" hidden="1" customHeight="1" x14ac:dyDescent="0.2">
      <c r="A18" s="205"/>
      <c r="B18" s="327" t="s">
        <v>988</v>
      </c>
      <c r="C18" s="304">
        <v>0</v>
      </c>
      <c r="D18" s="313"/>
      <c r="E18" s="219">
        <v>0</v>
      </c>
      <c r="F18" s="313"/>
      <c r="G18" s="219"/>
      <c r="H18" s="313"/>
      <c r="I18" s="219"/>
      <c r="J18" s="314"/>
      <c r="K18" s="313"/>
      <c r="L18" s="313"/>
      <c r="M18" s="313"/>
      <c r="N18" s="313"/>
      <c r="O18" s="313"/>
      <c r="P18" s="313"/>
    </row>
    <row r="19" spans="1:16" s="145" customFormat="1" ht="13.7" customHeight="1" x14ac:dyDescent="0.2">
      <c r="A19" s="205"/>
      <c r="B19" s="327" t="s">
        <v>989</v>
      </c>
      <c r="C19" s="304">
        <v>46</v>
      </c>
      <c r="D19" s="313"/>
      <c r="E19" s="219">
        <v>-80</v>
      </c>
      <c r="F19" s="313"/>
      <c r="G19" s="219"/>
      <c r="H19" s="313"/>
      <c r="I19" s="219"/>
      <c r="J19" s="314"/>
      <c r="K19" s="313"/>
    </row>
    <row r="20" spans="1:16" ht="14.1" customHeight="1" thickBot="1" x14ac:dyDescent="0.25">
      <c r="A20" s="205"/>
      <c r="B20" s="289" t="str">
        <f>"Carrying value at 31 March"</f>
        <v>Carrying value at 31 March</v>
      </c>
      <c r="C20" s="206">
        <f>SUM(C9:C19)</f>
        <v>1029.02242</v>
      </c>
      <c r="D20" s="170"/>
      <c r="E20" s="206">
        <f>SUM(E9:E19)</f>
        <v>780.02242000000001</v>
      </c>
      <c r="F20" s="170"/>
      <c r="G20" s="206">
        <f>SUM(G9:G19)</f>
        <v>0</v>
      </c>
      <c r="H20" s="170"/>
      <c r="I20" s="206">
        <f>SUM(I9:I19)</f>
        <v>0</v>
      </c>
      <c r="J20" s="179"/>
      <c r="K20" s="313"/>
    </row>
    <row r="21" spans="1:16" ht="14.1" customHeight="1" thickTop="1" x14ac:dyDescent="0.2">
      <c r="A21" s="205"/>
      <c r="B21" s="316"/>
      <c r="C21" s="313"/>
      <c r="D21" s="313"/>
      <c r="E21" s="314"/>
      <c r="F21" s="313"/>
      <c r="G21" s="313"/>
      <c r="H21" s="313"/>
      <c r="I21" s="314"/>
      <c r="J21" s="313"/>
      <c r="K21" s="313"/>
    </row>
    <row r="22" spans="1:16" s="142" customFormat="1" ht="4.7" customHeight="1" x14ac:dyDescent="0.2">
      <c r="A22" s="191"/>
      <c r="B22" s="469" t="s">
        <v>1349</v>
      </c>
      <c r="C22" s="469"/>
      <c r="D22" s="469"/>
      <c r="E22" s="469"/>
      <c r="F22" s="469"/>
      <c r="G22" s="469"/>
      <c r="H22" s="469"/>
      <c r="I22" s="469"/>
      <c r="J22" s="316"/>
      <c r="K22" s="316"/>
    </row>
    <row r="23" spans="1:16" ht="57" customHeight="1" x14ac:dyDescent="0.2">
      <c r="A23" s="205">
        <f>ROUNDDOWN('Inv in assoc &amp; JVs, other inv'!A3,0)+1</f>
        <v>21</v>
      </c>
      <c r="B23" s="469"/>
      <c r="C23" s="469"/>
      <c r="D23" s="469"/>
      <c r="E23" s="469"/>
      <c r="F23" s="469"/>
      <c r="G23" s="469"/>
      <c r="H23" s="469"/>
      <c r="I23" s="469"/>
      <c r="J23" s="313"/>
      <c r="K23" s="313"/>
    </row>
    <row r="24" spans="1:16" s="224" customFormat="1" ht="14.1" hidden="1" customHeight="1" x14ac:dyDescent="0.2">
      <c r="A24" s="205"/>
      <c r="B24" s="289"/>
      <c r="C24" s="460" t="s">
        <v>500</v>
      </c>
      <c r="D24" s="460"/>
      <c r="E24" s="460"/>
      <c r="F24" s="316"/>
      <c r="G24" s="460" t="s">
        <v>94</v>
      </c>
      <c r="H24" s="460"/>
      <c r="I24" s="460"/>
      <c r="J24" s="313"/>
      <c r="K24" s="313"/>
    </row>
    <row r="25" spans="1:16" ht="13.7" hidden="1" customHeight="1" x14ac:dyDescent="0.2">
      <c r="A25" s="205"/>
      <c r="B25" s="316"/>
      <c r="C25" s="290" t="str">
        <f>CurrentFY</f>
        <v>2021/22</v>
      </c>
      <c r="D25" s="290"/>
      <c r="E25" s="290" t="str">
        <f>ComparativeFY</f>
        <v>2020/21</v>
      </c>
      <c r="F25" s="313"/>
      <c r="G25" s="290" t="str">
        <f>CurrentFY</f>
        <v>2021/22</v>
      </c>
      <c r="H25" s="290"/>
      <c r="I25" s="290" t="str">
        <f>ComparativeFY</f>
        <v>2020/21</v>
      </c>
      <c r="J25" s="313"/>
      <c r="K25" s="313"/>
    </row>
    <row r="26" spans="1:16" ht="14.1" hidden="1" customHeight="1" x14ac:dyDescent="0.2">
      <c r="A26" s="205"/>
      <c r="B26" s="316"/>
      <c r="C26" s="290" t="s">
        <v>590</v>
      </c>
      <c r="D26" s="290"/>
      <c r="E26" s="290" t="s">
        <v>590</v>
      </c>
      <c r="F26" s="313"/>
      <c r="G26" s="290" t="s">
        <v>590</v>
      </c>
      <c r="H26" s="290"/>
      <c r="I26" s="290" t="s">
        <v>590</v>
      </c>
      <c r="J26" s="313"/>
      <c r="K26" s="313"/>
    </row>
    <row r="27" spans="1:16" s="235" customFormat="1" ht="14.1" hidden="1" customHeight="1" x14ac:dyDescent="0.2">
      <c r="A27" s="205"/>
      <c r="B27" s="316" t="str">
        <f>"Carrying value at 1 April - brought forward"</f>
        <v>Carrying value at 1 April - brought forward</v>
      </c>
      <c r="C27" s="220">
        <f>E40</f>
        <v>0</v>
      </c>
      <c r="D27" s="290"/>
      <c r="E27" s="220">
        <v>0</v>
      </c>
      <c r="F27" s="313"/>
      <c r="G27" s="220">
        <f>I40</f>
        <v>0</v>
      </c>
      <c r="H27" s="290"/>
      <c r="I27" s="220"/>
      <c r="J27" s="313"/>
      <c r="K27" s="313"/>
    </row>
    <row r="28" spans="1:16" s="235" customFormat="1" ht="14.1" hidden="1" customHeight="1" x14ac:dyDescent="0.2">
      <c r="A28" s="205"/>
      <c r="B28" s="327" t="s">
        <v>542</v>
      </c>
      <c r="C28" s="219"/>
      <c r="D28" s="290"/>
      <c r="E28" s="304">
        <v>0</v>
      </c>
      <c r="F28" s="313"/>
      <c r="G28" s="219"/>
      <c r="H28" s="290"/>
      <c r="I28" s="219"/>
      <c r="J28" s="313"/>
      <c r="K28" s="313"/>
    </row>
    <row r="29" spans="1:16" ht="14.1" hidden="1" customHeight="1" x14ac:dyDescent="0.2">
      <c r="A29" s="205"/>
      <c r="B29" s="316" t="str">
        <f>"Carrying value at 1 April - restated"</f>
        <v>Carrying value at 1 April - restated</v>
      </c>
      <c r="C29" s="207">
        <f>SUM(C27:C28)</f>
        <v>0</v>
      </c>
      <c r="D29" s="179"/>
      <c r="E29" s="207">
        <f>SUM(E27:E28)</f>
        <v>0</v>
      </c>
      <c r="F29" s="313"/>
      <c r="G29" s="207">
        <f>SUM(G27:G28)</f>
        <v>0</v>
      </c>
      <c r="H29" s="179"/>
      <c r="I29" s="207">
        <f>SUM(I27:I28)</f>
        <v>0</v>
      </c>
      <c r="J29" s="314"/>
      <c r="K29" s="313"/>
    </row>
    <row r="30" spans="1:16" ht="14.1" hidden="1" customHeight="1" x14ac:dyDescent="0.2">
      <c r="A30" s="205"/>
      <c r="B30" s="316" t="s">
        <v>977</v>
      </c>
      <c r="C30" s="304">
        <v>0</v>
      </c>
      <c r="D30" s="179"/>
      <c r="E30" s="304">
        <v>0</v>
      </c>
      <c r="F30" s="313"/>
      <c r="G30" s="220"/>
      <c r="H30" s="179"/>
      <c r="I30" s="220"/>
      <c r="J30" s="104"/>
      <c r="K30" s="270" t="s">
        <v>592</v>
      </c>
    </row>
    <row r="31" spans="1:16" ht="14.1" hidden="1" customHeight="1" x14ac:dyDescent="0.2">
      <c r="A31" s="205"/>
      <c r="B31" s="327" t="s">
        <v>955</v>
      </c>
      <c r="C31" s="304">
        <v>0</v>
      </c>
      <c r="D31" s="314"/>
      <c r="E31" s="304">
        <v>0</v>
      </c>
      <c r="F31" s="313"/>
      <c r="G31" s="219"/>
      <c r="H31" s="314"/>
      <c r="I31" s="219"/>
      <c r="J31" s="314"/>
      <c r="K31" s="313"/>
    </row>
    <row r="32" spans="1:16" ht="14.1" hidden="1" customHeight="1" x14ac:dyDescent="0.2">
      <c r="A32" s="205"/>
      <c r="B32" s="327" t="s">
        <v>978</v>
      </c>
      <c r="C32" s="304">
        <v>0</v>
      </c>
      <c r="D32" s="314"/>
      <c r="E32" s="304">
        <v>0</v>
      </c>
      <c r="F32" s="313"/>
      <c r="G32" s="219"/>
      <c r="H32" s="314"/>
      <c r="I32" s="219"/>
      <c r="J32" s="314"/>
      <c r="K32" s="313"/>
    </row>
    <row r="33" spans="1:11" ht="12" hidden="1" x14ac:dyDescent="0.2">
      <c r="A33" s="205"/>
      <c r="B33" s="327" t="s">
        <v>990</v>
      </c>
      <c r="C33" s="219">
        <v>0</v>
      </c>
      <c r="D33" s="314"/>
      <c r="E33" s="219">
        <v>0</v>
      </c>
      <c r="F33" s="313"/>
      <c r="G33" s="219"/>
      <c r="H33" s="314"/>
      <c r="I33" s="219"/>
      <c r="J33" s="314"/>
      <c r="K33" s="313"/>
    </row>
    <row r="34" spans="1:11" s="242" customFormat="1" ht="13.7" hidden="1" customHeight="1" x14ac:dyDescent="0.2">
      <c r="A34" s="205"/>
      <c r="B34" s="327" t="s">
        <v>991</v>
      </c>
      <c r="C34" s="219">
        <v>0</v>
      </c>
      <c r="D34" s="314"/>
      <c r="E34" s="219">
        <v>0</v>
      </c>
      <c r="F34" s="313"/>
      <c r="G34" s="219"/>
      <c r="H34" s="314"/>
      <c r="I34" s="219"/>
      <c r="J34" s="314"/>
      <c r="K34" s="313"/>
    </row>
    <row r="35" spans="1:11" s="145" customFormat="1" ht="14.1" hidden="1" customHeight="1" x14ac:dyDescent="0.2">
      <c r="A35" s="205"/>
      <c r="B35" s="327" t="s">
        <v>611</v>
      </c>
      <c r="C35" s="219">
        <v>0</v>
      </c>
      <c r="D35" s="314"/>
      <c r="E35" s="219">
        <v>0</v>
      </c>
      <c r="F35" s="313"/>
      <c r="G35" s="219"/>
      <c r="H35" s="314"/>
      <c r="I35" s="219"/>
      <c r="J35" s="314"/>
    </row>
    <row r="36" spans="1:11" s="145" customFormat="1" ht="13.7" hidden="1" customHeight="1" x14ac:dyDescent="0.2">
      <c r="A36" s="205"/>
      <c r="B36" s="327" t="s">
        <v>960</v>
      </c>
      <c r="C36" s="219">
        <v>0</v>
      </c>
      <c r="D36" s="314"/>
      <c r="E36" s="219">
        <v>0</v>
      </c>
      <c r="F36" s="313"/>
      <c r="G36" s="219"/>
      <c r="H36" s="314"/>
      <c r="I36" s="219"/>
      <c r="J36" s="314"/>
    </row>
    <row r="37" spans="1:11" s="145" customFormat="1" ht="13.7" hidden="1" customHeight="1" x14ac:dyDescent="0.2">
      <c r="A37" s="205"/>
      <c r="B37" s="327" t="s">
        <v>992</v>
      </c>
      <c r="C37" s="219">
        <v>0</v>
      </c>
      <c r="D37" s="314"/>
      <c r="E37" s="219">
        <v>0</v>
      </c>
      <c r="F37" s="313"/>
      <c r="G37" s="219"/>
      <c r="H37" s="314"/>
      <c r="I37" s="219"/>
      <c r="J37" s="314"/>
    </row>
    <row r="38" spans="1:11" s="145" customFormat="1" ht="24" hidden="1" x14ac:dyDescent="0.2">
      <c r="A38" s="205"/>
      <c r="B38" s="327" t="s">
        <v>993</v>
      </c>
      <c r="C38" s="219">
        <v>0</v>
      </c>
      <c r="D38" s="314"/>
      <c r="E38" s="219">
        <v>0</v>
      </c>
      <c r="F38" s="313"/>
      <c r="G38" s="219"/>
      <c r="H38" s="314"/>
      <c r="I38" s="219"/>
      <c r="J38" s="314"/>
    </row>
    <row r="39" spans="1:11" ht="14.1" hidden="1" customHeight="1" x14ac:dyDescent="0.2">
      <c r="A39" s="205"/>
      <c r="B39" s="327" t="s">
        <v>982</v>
      </c>
      <c r="C39" s="219">
        <v>0</v>
      </c>
      <c r="D39" s="314"/>
      <c r="E39" s="219">
        <v>0</v>
      </c>
      <c r="F39" s="313"/>
      <c r="G39" s="219"/>
      <c r="H39" s="314"/>
      <c r="I39" s="219"/>
      <c r="J39" s="314"/>
    </row>
    <row r="40" spans="1:11" ht="14.1" hidden="1" customHeight="1" thickBot="1" x14ac:dyDescent="0.25">
      <c r="A40" s="205"/>
      <c r="B40" s="289" t="str">
        <f>"Carrying value at 31 March"</f>
        <v>Carrying value at 31 March</v>
      </c>
      <c r="C40" s="206">
        <f>SUM(C29:C39)</f>
        <v>0</v>
      </c>
      <c r="D40" s="179"/>
      <c r="E40" s="206">
        <f>SUM(E29:E39)</f>
        <v>0</v>
      </c>
      <c r="F40" s="170"/>
      <c r="G40" s="206">
        <f>SUM(G29:G39)</f>
        <v>0</v>
      </c>
      <c r="H40" s="179"/>
      <c r="I40" s="206">
        <f>SUM(I29:I39)</f>
        <v>0</v>
      </c>
      <c r="J40" s="179"/>
    </row>
    <row r="41" spans="1:11" ht="14.1" hidden="1" customHeight="1" thickTop="1" x14ac:dyDescent="0.2">
      <c r="A41" s="205"/>
      <c r="B41" s="313"/>
      <c r="C41" s="313"/>
      <c r="D41" s="313"/>
      <c r="E41" s="313"/>
      <c r="F41" s="313"/>
      <c r="G41" s="313"/>
      <c r="H41" s="313"/>
      <c r="I41" s="313"/>
      <c r="J41" s="313"/>
    </row>
    <row r="42" spans="1:11" ht="5.45" hidden="1" customHeight="1" x14ac:dyDescent="0.2">
      <c r="A42" s="205"/>
      <c r="B42" s="313"/>
      <c r="C42" s="313"/>
      <c r="D42" s="313"/>
      <c r="E42" s="313"/>
      <c r="F42" s="313"/>
      <c r="G42" s="313"/>
      <c r="H42" s="313"/>
      <c r="I42" s="313"/>
      <c r="J42" s="313"/>
    </row>
    <row r="43" spans="1:11" ht="18" customHeight="1" x14ac:dyDescent="0.2">
      <c r="A43" s="205">
        <f>A3+0.1</f>
        <v>20.200000000000003</v>
      </c>
      <c r="B43" s="97" t="str">
        <f>"Note "&amp; A43&amp; " Investment in subsidiaries"</f>
        <v>Note 20.2 Investment in subsidiaries</v>
      </c>
      <c r="C43" s="326"/>
      <c r="D43" s="326"/>
      <c r="E43" s="326"/>
      <c r="F43" s="316"/>
      <c r="G43" s="326"/>
      <c r="H43" s="326"/>
      <c r="I43" s="326"/>
      <c r="J43" s="313"/>
    </row>
    <row r="44" spans="1:11" s="224" customFormat="1" ht="14.1" customHeight="1" x14ac:dyDescent="0.2">
      <c r="A44" s="205"/>
      <c r="B44" s="97"/>
      <c r="C44" s="460" t="s">
        <v>94</v>
      </c>
      <c r="D44" s="460"/>
      <c r="E44" s="460"/>
      <c r="F44" s="316"/>
      <c r="G44" s="460" t="s">
        <v>94</v>
      </c>
      <c r="H44" s="460"/>
      <c r="I44" s="460"/>
      <c r="J44" s="313"/>
    </row>
    <row r="45" spans="1:11" ht="24.75" customHeight="1" x14ac:dyDescent="0.2">
      <c r="A45" s="205"/>
      <c r="B45" s="313"/>
      <c r="C45" s="290" t="str">
        <f>TEXT(CurrentYearEnd, "d mmmm yyyy")</f>
        <v>31 March 2022</v>
      </c>
      <c r="D45" s="290"/>
      <c r="E45" s="290" t="str">
        <f>TEXT(ComparativeYearEnd, "d mmmm yyyy")</f>
        <v>31 March 2021</v>
      </c>
      <c r="F45" s="313"/>
      <c r="G45" s="290" t="str">
        <f>TEXT(CurrentYearEnd, "d mmmm yyyy")</f>
        <v>31 March 2022</v>
      </c>
      <c r="H45" s="290"/>
      <c r="I45" s="290" t="str">
        <f>TEXT(ComparativeYearEnd, "d mmmm yyyy")</f>
        <v>31 March 2021</v>
      </c>
      <c r="J45" s="313"/>
    </row>
    <row r="46" spans="1:11" ht="14.1" customHeight="1" x14ac:dyDescent="0.2">
      <c r="A46" s="205"/>
      <c r="B46" s="313"/>
      <c r="C46" s="290" t="s">
        <v>590</v>
      </c>
      <c r="D46" s="290"/>
      <c r="E46" s="290" t="s">
        <v>590</v>
      </c>
      <c r="F46" s="313"/>
      <c r="G46" s="290" t="s">
        <v>590</v>
      </c>
      <c r="H46" s="290"/>
      <c r="I46" s="290" t="s">
        <v>590</v>
      </c>
      <c r="J46" s="313"/>
    </row>
    <row r="47" spans="1:11" ht="12" x14ac:dyDescent="0.2">
      <c r="A47" s="205"/>
      <c r="B47" s="316" t="str">
        <f>"Carrying value at 1 April - brought forward"</f>
        <v>Carrying value at 1 April - brought forward</v>
      </c>
      <c r="C47" s="219">
        <f>+E50</f>
        <v>3384</v>
      </c>
      <c r="D47" s="219"/>
      <c r="E47" s="219">
        <v>2272</v>
      </c>
      <c r="F47" s="313"/>
      <c r="G47" s="219"/>
      <c r="H47" s="219"/>
      <c r="I47" s="219"/>
      <c r="J47" s="313"/>
    </row>
    <row r="48" spans="1:11" ht="13.7" customHeight="1" x14ac:dyDescent="0.2">
      <c r="A48" s="205"/>
      <c r="B48" s="422" t="s">
        <v>989</v>
      </c>
      <c r="C48" s="219">
        <f>+C19+2</f>
        <v>48</v>
      </c>
      <c r="D48" s="219"/>
      <c r="E48" s="219">
        <v>-80</v>
      </c>
      <c r="F48" s="313"/>
      <c r="G48" s="219"/>
      <c r="H48" s="219"/>
      <c r="I48" s="219"/>
      <c r="J48" s="313"/>
    </row>
    <row r="49" spans="1:10" ht="14.1" customHeight="1" x14ac:dyDescent="0.2">
      <c r="A49" s="205"/>
      <c r="B49" s="422" t="s">
        <v>1423</v>
      </c>
      <c r="C49" s="219">
        <v>0</v>
      </c>
      <c r="D49" s="219"/>
      <c r="E49" s="219">
        <v>1192</v>
      </c>
      <c r="F49" s="313"/>
      <c r="G49" s="219"/>
      <c r="H49" s="219"/>
      <c r="I49" s="219"/>
      <c r="J49" s="313"/>
    </row>
    <row r="50" spans="1:10" ht="13.7" customHeight="1" thickBot="1" x14ac:dyDescent="0.25">
      <c r="A50" s="205"/>
      <c r="B50" s="289" t="str">
        <f>"Carrying value at 31 March"</f>
        <v>Carrying value at 31 March</v>
      </c>
      <c r="C50" s="206">
        <f>SUM(C47:C49)</f>
        <v>3432</v>
      </c>
      <c r="D50" s="313"/>
      <c r="E50" s="206">
        <f>SUM(E47:E49)</f>
        <v>3384</v>
      </c>
      <c r="F50" s="313"/>
      <c r="G50" s="206">
        <f>SUM(G47:G49)</f>
        <v>0</v>
      </c>
      <c r="H50" s="313"/>
      <c r="I50" s="206">
        <f>SUM(I47:I49)</f>
        <v>0</v>
      </c>
      <c r="J50" s="313"/>
    </row>
    <row r="51" spans="1:10" ht="14.1" customHeight="1" thickTop="1" x14ac:dyDescent="0.2">
      <c r="A51" s="205"/>
      <c r="B51" s="313"/>
      <c r="C51" s="313"/>
      <c r="D51" s="313"/>
      <c r="E51" s="313"/>
      <c r="F51" s="313"/>
      <c r="G51" s="313"/>
      <c r="H51" s="313"/>
      <c r="I51" s="313"/>
    </row>
    <row r="52" spans="1:10" ht="26.1" customHeight="1" x14ac:dyDescent="0.2">
      <c r="A52" s="205"/>
      <c r="B52" s="462"/>
      <c r="C52" s="462"/>
      <c r="D52" s="462"/>
      <c r="E52" s="462"/>
      <c r="F52" s="462"/>
      <c r="G52" s="462"/>
      <c r="H52" s="462"/>
      <c r="I52" s="462"/>
    </row>
    <row r="53" spans="1:10" ht="14.1" customHeight="1" x14ac:dyDescent="0.2">
      <c r="A53" s="313"/>
      <c r="B53" s="313"/>
      <c r="C53" s="313"/>
      <c r="D53" s="313"/>
      <c r="E53" s="313"/>
      <c r="F53" s="313"/>
      <c r="G53" s="313"/>
      <c r="H53" s="313"/>
      <c r="I53" s="313"/>
    </row>
    <row r="54" spans="1:10" ht="14.1" customHeight="1" x14ac:dyDescent="0.2">
      <c r="A54" s="313"/>
      <c r="B54" s="313"/>
      <c r="C54" s="313"/>
      <c r="D54" s="313"/>
      <c r="E54" s="313"/>
      <c r="F54" s="313"/>
      <c r="G54" s="313"/>
      <c r="H54" s="313"/>
      <c r="I54" s="313"/>
    </row>
    <row r="55" spans="1:10" ht="14.1" customHeight="1" x14ac:dyDescent="0.2">
      <c r="A55" s="313"/>
      <c r="B55" s="313"/>
      <c r="C55" s="313"/>
      <c r="D55" s="313"/>
      <c r="E55" s="313"/>
      <c r="F55" s="313"/>
      <c r="G55" s="313"/>
      <c r="H55" s="313"/>
      <c r="I55" s="313"/>
    </row>
    <row r="56" spans="1:10" ht="14.1" customHeight="1" x14ac:dyDescent="0.2">
      <c r="A56" s="313"/>
      <c r="B56" s="313"/>
      <c r="C56" s="313"/>
      <c r="D56" s="313"/>
      <c r="E56" s="313"/>
      <c r="F56" s="313"/>
      <c r="G56" s="313"/>
      <c r="H56" s="313"/>
      <c r="I56" s="313"/>
    </row>
    <row r="57" spans="1:10" ht="14.1" customHeight="1" x14ac:dyDescent="0.2">
      <c r="A57" s="313"/>
      <c r="B57" s="313"/>
      <c r="C57" s="313"/>
      <c r="D57" s="313"/>
      <c r="E57" s="313"/>
      <c r="F57" s="313"/>
      <c r="G57" s="313"/>
      <c r="H57" s="313"/>
      <c r="I57" s="313"/>
    </row>
    <row r="58" spans="1:10" ht="14.1" customHeight="1" x14ac:dyDescent="0.2">
      <c r="A58" s="313"/>
      <c r="B58" s="313"/>
      <c r="C58" s="313"/>
      <c r="D58" s="313"/>
      <c r="E58" s="313"/>
      <c r="F58" s="313"/>
      <c r="G58" s="313"/>
      <c r="H58" s="313"/>
      <c r="I58" s="313"/>
    </row>
    <row r="59" spans="1:10" ht="14.1" customHeight="1" x14ac:dyDescent="0.2">
      <c r="A59" s="313"/>
      <c r="B59" s="313"/>
      <c r="C59" s="313"/>
      <c r="D59" s="313"/>
      <c r="E59" s="313"/>
      <c r="F59" s="313"/>
      <c r="G59" s="313"/>
      <c r="H59" s="313"/>
      <c r="I59" s="313"/>
    </row>
    <row r="60" spans="1:10" ht="14.1" customHeight="1" x14ac:dyDescent="0.2">
      <c r="A60" s="313"/>
      <c r="B60" s="313"/>
      <c r="C60" s="313"/>
      <c r="D60" s="313"/>
      <c r="E60" s="313"/>
      <c r="F60" s="313"/>
      <c r="G60" s="313"/>
      <c r="H60" s="313"/>
      <c r="I60" s="313"/>
    </row>
    <row r="61" spans="1:10" ht="14.1" customHeight="1" x14ac:dyDescent="0.2">
      <c r="A61" s="313"/>
      <c r="B61" s="313"/>
      <c r="C61" s="313"/>
      <c r="D61" s="313"/>
      <c r="E61" s="313"/>
      <c r="F61" s="313"/>
      <c r="G61" s="313"/>
      <c r="H61" s="313"/>
      <c r="I61" s="313"/>
    </row>
    <row r="62" spans="1:10" ht="14.1" customHeight="1" x14ac:dyDescent="0.2">
      <c r="A62" s="313"/>
      <c r="B62" s="313"/>
      <c r="C62" s="313"/>
      <c r="D62" s="313"/>
      <c r="E62" s="313"/>
      <c r="F62" s="313"/>
      <c r="G62" s="313"/>
      <c r="H62" s="313"/>
      <c r="I62" s="313"/>
    </row>
    <row r="63" spans="1:10" ht="14.1" customHeight="1" x14ac:dyDescent="0.2">
      <c r="A63" s="313"/>
      <c r="B63" s="313"/>
      <c r="C63" s="313"/>
      <c r="D63" s="313"/>
      <c r="E63" s="313"/>
      <c r="F63" s="313"/>
      <c r="G63" s="313"/>
      <c r="H63" s="313"/>
      <c r="I63" s="313"/>
    </row>
    <row r="64" spans="1:10" ht="14.1" customHeight="1" x14ac:dyDescent="0.2">
      <c r="A64" s="313"/>
      <c r="B64" s="313"/>
      <c r="C64" s="313"/>
      <c r="D64" s="313"/>
      <c r="E64" s="313"/>
      <c r="F64" s="313"/>
      <c r="G64" s="313"/>
      <c r="H64" s="313"/>
      <c r="I64" s="313"/>
    </row>
    <row r="65" spans="1:9" ht="14.1" customHeight="1" x14ac:dyDescent="0.2">
      <c r="A65" s="313"/>
      <c r="B65" s="313"/>
      <c r="C65" s="313"/>
      <c r="D65" s="313"/>
      <c r="E65" s="313"/>
      <c r="F65" s="313"/>
      <c r="G65" s="313"/>
      <c r="H65" s="313"/>
      <c r="I65" s="313"/>
    </row>
    <row r="66" spans="1:9" ht="14.1" customHeight="1" x14ac:dyDescent="0.2">
      <c r="A66" s="313"/>
      <c r="B66" s="313"/>
      <c r="C66" s="313"/>
      <c r="D66" s="313"/>
      <c r="E66" s="313"/>
      <c r="F66" s="313"/>
      <c r="G66" s="313"/>
      <c r="H66" s="313"/>
      <c r="I66" s="313"/>
    </row>
    <row r="67" spans="1:9" ht="14.1" customHeight="1" x14ac:dyDescent="0.2">
      <c r="A67" s="313"/>
      <c r="B67" s="313"/>
      <c r="C67" s="313"/>
      <c r="D67" s="313"/>
      <c r="E67" s="313"/>
      <c r="F67" s="313"/>
      <c r="G67" s="313"/>
      <c r="H67" s="313"/>
      <c r="I67" s="313"/>
    </row>
    <row r="68" spans="1:9" ht="14.1" customHeight="1" x14ac:dyDescent="0.2">
      <c r="A68" s="313"/>
      <c r="B68" s="313"/>
      <c r="C68" s="313"/>
      <c r="D68" s="313"/>
      <c r="E68" s="313"/>
      <c r="F68" s="313"/>
      <c r="G68" s="313"/>
      <c r="H68" s="313"/>
      <c r="I68" s="313"/>
    </row>
    <row r="69" spans="1:9" ht="14.1" customHeight="1" x14ac:dyDescent="0.2">
      <c r="A69" s="313"/>
      <c r="B69" s="313"/>
      <c r="C69" s="313"/>
      <c r="D69" s="313"/>
      <c r="E69" s="313"/>
      <c r="F69" s="313"/>
      <c r="G69" s="313"/>
      <c r="H69" s="313"/>
      <c r="I69" s="313"/>
    </row>
    <row r="70" spans="1:9" ht="14.1" customHeight="1" x14ac:dyDescent="0.2">
      <c r="A70" s="313"/>
      <c r="B70" s="313"/>
      <c r="C70" s="313"/>
      <c r="D70" s="313"/>
      <c r="E70" s="313"/>
      <c r="F70" s="313"/>
      <c r="G70" s="313"/>
      <c r="H70" s="313"/>
      <c r="I70" s="313"/>
    </row>
    <row r="71" spans="1:9" ht="14.1" customHeight="1" x14ac:dyDescent="0.2">
      <c r="A71" s="313"/>
      <c r="B71" s="313"/>
      <c r="C71" s="313"/>
      <c r="D71" s="313"/>
      <c r="E71" s="313"/>
      <c r="F71" s="313"/>
      <c r="G71" s="313"/>
      <c r="H71" s="313"/>
      <c r="I71" s="313"/>
    </row>
  </sheetData>
  <mergeCells count="8">
    <mergeCell ref="B52:I52"/>
    <mergeCell ref="C44:E44"/>
    <mergeCell ref="G44:I44"/>
    <mergeCell ref="C4:E4"/>
    <mergeCell ref="G4:I4"/>
    <mergeCell ref="C24:E24"/>
    <mergeCell ref="G24:I24"/>
    <mergeCell ref="B22:I23"/>
  </mergeCells>
  <pageMargins left="0.70866141732283472" right="0.70866141732283472" top="0.74803149606299213" bottom="0.74803149606299213" header="0.31496062992125984" footer="0.31496062992125984"/>
  <pageSetup paperSize="9" fitToHeight="0" orientation="portrait" verticalDpi="0" r:id="rId1"/>
  <headerFooter>
    <oddFooter>&amp;RPage &amp;P of &amp;N</oddFooter>
  </headerFooter>
  <ignoredErrors>
    <ignoredError sqref="C6:E6 C46:E46"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0">
    <pageSetUpPr fitToPage="1"/>
  </sheetPr>
  <dimension ref="A1:J64"/>
  <sheetViews>
    <sheetView showGridLines="0" zoomScale="90" zoomScaleNormal="90" workbookViewId="0">
      <selection activeCell="I32" sqref="I32"/>
    </sheetView>
  </sheetViews>
  <sheetFormatPr defaultColWidth="9.140625" defaultRowHeight="14.1" customHeight="1" x14ac:dyDescent="0.2"/>
  <cols>
    <col min="1" max="1" width="1" style="38" customWidth="1"/>
    <col min="2" max="2" width="40.140625" style="21" customWidth="1"/>
    <col min="3" max="3" width="10.7109375" style="21" customWidth="1"/>
    <col min="4" max="4" width="0.7109375" style="21" customWidth="1"/>
    <col min="5" max="5" width="10.7109375" style="21" customWidth="1"/>
    <col min="6" max="6" width="1" style="21" customWidth="1"/>
    <col min="7" max="7" width="10.7109375" style="169" customWidth="1"/>
    <col min="8" max="8" width="0.7109375" style="169" customWidth="1"/>
    <col min="9" max="9" width="10.7109375" style="169" customWidth="1"/>
    <col min="10" max="16384" width="9.140625" style="21"/>
  </cols>
  <sheetData>
    <row r="1" spans="1:9" s="313" customFormat="1" ht="14.1" customHeight="1" x14ac:dyDescent="0.2">
      <c r="A1" s="350" t="s">
        <v>1310</v>
      </c>
      <c r="B1" s="351"/>
      <c r="C1" s="351"/>
      <c r="D1" s="351"/>
      <c r="E1" s="351"/>
      <c r="F1" s="351"/>
      <c r="G1" s="351"/>
      <c r="H1" s="351"/>
      <c r="I1" s="351"/>
    </row>
    <row r="2" spans="1:9" s="313" customFormat="1" ht="14.1" customHeight="1" x14ac:dyDescent="0.2">
      <c r="A2" s="205"/>
    </row>
    <row r="3" spans="1:9" ht="14.1" hidden="1" customHeight="1" x14ac:dyDescent="0.2">
      <c r="A3" s="205">
        <f>ROUNDDOWN('Inv in assoc &amp; JVs, other inv'!A43,0)+1</f>
        <v>21</v>
      </c>
      <c r="B3" s="289" t="str">
        <f>"Note "&amp;A3&amp;" Disclosure of interests in other entities"</f>
        <v>Note 21 Disclosure of interests in other entities</v>
      </c>
      <c r="C3" s="313"/>
      <c r="D3" s="313"/>
      <c r="E3" s="313"/>
      <c r="F3" s="313"/>
      <c r="G3" s="313"/>
      <c r="H3" s="313"/>
      <c r="I3" s="313"/>
    </row>
    <row r="4" spans="1:9" ht="14.1" hidden="1" customHeight="1" x14ac:dyDescent="0.2"/>
    <row r="5" spans="1:9" ht="52.5" hidden="1" customHeight="1" x14ac:dyDescent="0.2">
      <c r="A5" s="205"/>
      <c r="B5" s="464" t="s">
        <v>994</v>
      </c>
      <c r="C5" s="464"/>
      <c r="D5" s="464"/>
      <c r="E5" s="464"/>
      <c r="F5" s="464"/>
      <c r="G5" s="464"/>
      <c r="H5" s="464"/>
      <c r="I5" s="464"/>
    </row>
    <row r="6" spans="1:9" s="112" customFormat="1" ht="13.7" hidden="1" customHeight="1" x14ac:dyDescent="0.2">
      <c r="A6" s="205"/>
      <c r="B6" s="208"/>
      <c r="C6" s="208"/>
      <c r="D6" s="208"/>
      <c r="E6" s="208"/>
      <c r="F6" s="313"/>
      <c r="G6" s="208"/>
      <c r="H6" s="208"/>
      <c r="I6" s="208"/>
    </row>
    <row r="7" spans="1:9" s="112" customFormat="1" ht="13.7" hidden="1" customHeight="1" x14ac:dyDescent="0.2">
      <c r="A7" s="205">
        <f>ROUNDDOWN(A3,0)+1</f>
        <v>22</v>
      </c>
      <c r="B7" s="316" t="str">
        <f>"Note "&amp;A7&amp; " Analysis of charitable fund reserves"</f>
        <v>Note 22 Analysis of charitable fund reserves</v>
      </c>
      <c r="C7" s="208"/>
      <c r="D7" s="208"/>
      <c r="E7" s="208"/>
      <c r="F7" s="313"/>
      <c r="G7" s="208"/>
      <c r="H7" s="208"/>
      <c r="I7" s="208"/>
    </row>
    <row r="8" spans="1:9" s="184" customFormat="1" ht="13.7" hidden="1" customHeight="1" x14ac:dyDescent="0.2">
      <c r="A8" s="205"/>
      <c r="B8" s="208"/>
      <c r="C8" s="208"/>
      <c r="D8" s="208"/>
      <c r="E8" s="208"/>
      <c r="F8" s="313"/>
      <c r="G8" s="208"/>
      <c r="H8" s="208"/>
      <c r="I8" s="208"/>
    </row>
    <row r="9" spans="1:9" s="184" customFormat="1" ht="14.25" hidden="1" customHeight="1" x14ac:dyDescent="0.2">
      <c r="A9" s="205"/>
      <c r="B9" s="453" t="s">
        <v>995</v>
      </c>
      <c r="C9" s="453"/>
      <c r="D9" s="453"/>
      <c r="E9" s="453"/>
      <c r="F9" s="453"/>
      <c r="G9" s="453"/>
      <c r="H9" s="453"/>
      <c r="I9" s="453"/>
    </row>
    <row r="10" spans="1:9" s="184" customFormat="1" ht="13.7" hidden="1" customHeight="1" x14ac:dyDescent="0.2">
      <c r="A10" s="205"/>
      <c r="B10" s="208"/>
      <c r="C10" s="208"/>
      <c r="D10" s="208"/>
      <c r="E10" s="208"/>
      <c r="F10" s="313"/>
      <c r="G10" s="208"/>
      <c r="H10" s="208"/>
      <c r="I10" s="208"/>
    </row>
    <row r="11" spans="1:9" s="184" customFormat="1" ht="27" hidden="1" customHeight="1" x14ac:dyDescent="0.25">
      <c r="A11" s="205"/>
      <c r="B11" s="317"/>
      <c r="C11" s="290" t="str">
        <f>TEXT(CurrentYearEnd, "d mmmm yyyy")</f>
        <v>31 March 2022</v>
      </c>
      <c r="D11" s="290"/>
      <c r="E11" s="290" t="str">
        <f>TEXT(ComparativeYearEnd, "d mmmm yyyy")</f>
        <v>31 March 2021</v>
      </c>
      <c r="F11" s="313"/>
      <c r="G11" s="208"/>
      <c r="H11" s="208"/>
      <c r="I11" s="208"/>
    </row>
    <row r="12" spans="1:9" s="184" customFormat="1" ht="13.7" hidden="1" customHeight="1" x14ac:dyDescent="0.25">
      <c r="A12" s="205"/>
      <c r="B12" s="317"/>
      <c r="C12" s="290" t="s">
        <v>590</v>
      </c>
      <c r="D12" s="290"/>
      <c r="E12" s="290" t="s">
        <v>590</v>
      </c>
      <c r="F12" s="313"/>
      <c r="G12" s="208"/>
      <c r="H12" s="208"/>
      <c r="I12" s="208"/>
    </row>
    <row r="13" spans="1:9" s="184" customFormat="1" ht="13.7" hidden="1" customHeight="1" x14ac:dyDescent="0.2">
      <c r="A13" s="205"/>
      <c r="B13" s="316" t="s">
        <v>996</v>
      </c>
      <c r="C13" s="197"/>
      <c r="D13" s="197"/>
      <c r="E13" s="197"/>
      <c r="F13" s="313"/>
      <c r="G13" s="208"/>
      <c r="H13" s="208"/>
      <c r="I13" s="208"/>
    </row>
    <row r="14" spans="1:9" s="184" customFormat="1" ht="13.7" hidden="1" customHeight="1" x14ac:dyDescent="0.2">
      <c r="A14" s="205"/>
      <c r="B14" s="313" t="s">
        <v>997</v>
      </c>
      <c r="C14" s="219">
        <v>0</v>
      </c>
      <c r="D14" s="314"/>
      <c r="E14" s="219">
        <v>0</v>
      </c>
      <c r="F14" s="313"/>
      <c r="G14" s="208"/>
      <c r="H14" s="208"/>
      <c r="I14" s="208"/>
    </row>
    <row r="15" spans="1:9" s="184" customFormat="1" ht="13.7" hidden="1" customHeight="1" x14ac:dyDescent="0.2">
      <c r="A15" s="205"/>
      <c r="B15" s="313" t="s">
        <v>577</v>
      </c>
      <c r="C15" s="219">
        <v>0</v>
      </c>
      <c r="D15" s="314"/>
      <c r="E15" s="219">
        <v>0</v>
      </c>
      <c r="F15" s="313"/>
      <c r="G15" s="208"/>
      <c r="H15" s="208"/>
      <c r="I15" s="208"/>
    </row>
    <row r="16" spans="1:9" s="184" customFormat="1" ht="13.7" hidden="1" customHeight="1" x14ac:dyDescent="0.2">
      <c r="A16" s="205"/>
      <c r="B16" s="313" t="s">
        <v>579</v>
      </c>
      <c r="C16" s="219">
        <v>0</v>
      </c>
      <c r="D16" s="314"/>
      <c r="E16" s="219">
        <v>0</v>
      </c>
      <c r="F16" s="313"/>
      <c r="G16" s="208"/>
      <c r="H16" s="208"/>
      <c r="I16" s="208"/>
    </row>
    <row r="17" spans="1:10" s="184" customFormat="1" ht="13.7" hidden="1" customHeight="1" x14ac:dyDescent="0.2">
      <c r="A17" s="205"/>
      <c r="B17" s="316" t="s">
        <v>998</v>
      </c>
      <c r="C17" s="314"/>
      <c r="D17" s="314"/>
      <c r="E17" s="314"/>
      <c r="F17" s="313"/>
      <c r="G17" s="208"/>
      <c r="H17" s="208"/>
      <c r="I17" s="208"/>
    </row>
    <row r="18" spans="1:10" s="184" customFormat="1" ht="13.7" hidden="1" customHeight="1" x14ac:dyDescent="0.2">
      <c r="A18" s="205"/>
      <c r="B18" s="313" t="s">
        <v>999</v>
      </c>
      <c r="C18" s="219">
        <v>0</v>
      </c>
      <c r="D18" s="314"/>
      <c r="E18" s="219">
        <v>0</v>
      </c>
      <c r="F18" s="313"/>
      <c r="G18" s="208"/>
      <c r="H18" s="208"/>
      <c r="I18" s="208"/>
    </row>
    <row r="19" spans="1:10" s="184" customFormat="1" ht="13.7" hidden="1" customHeight="1" x14ac:dyDescent="0.2">
      <c r="A19" s="205"/>
      <c r="B19" s="313" t="s">
        <v>1000</v>
      </c>
      <c r="C19" s="219">
        <v>0</v>
      </c>
      <c r="D19" s="314"/>
      <c r="E19" s="219">
        <v>0</v>
      </c>
      <c r="F19" s="313"/>
      <c r="G19" s="208"/>
      <c r="H19" s="208"/>
      <c r="I19" s="208"/>
      <c r="J19" s="313"/>
    </row>
    <row r="20" spans="1:10" s="184" customFormat="1" ht="13.7" hidden="1" customHeight="1" thickBot="1" x14ac:dyDescent="0.3">
      <c r="A20" s="205"/>
      <c r="B20" s="313"/>
      <c r="C20" s="206">
        <f>SUM(C14:C19)</f>
        <v>0</v>
      </c>
      <c r="D20" s="317"/>
      <c r="E20" s="206">
        <f>SUM(E14:E19)</f>
        <v>0</v>
      </c>
      <c r="F20" s="313"/>
      <c r="G20" s="208"/>
      <c r="H20" s="208"/>
      <c r="I20" s="208"/>
      <c r="J20" s="313"/>
    </row>
    <row r="21" spans="1:10" s="184" customFormat="1" ht="13.7" hidden="1" customHeight="1" thickTop="1" x14ac:dyDescent="0.25">
      <c r="A21" s="205"/>
      <c r="B21" s="317"/>
      <c r="C21" s="317"/>
      <c r="D21" s="317"/>
      <c r="E21" s="317"/>
      <c r="F21" s="317"/>
      <c r="G21" s="208"/>
      <c r="H21" s="208"/>
      <c r="I21" s="208"/>
      <c r="J21" s="313"/>
    </row>
    <row r="22" spans="1:10" s="184" customFormat="1" ht="41.25" hidden="1" customHeight="1" x14ac:dyDescent="0.2">
      <c r="A22" s="205"/>
      <c r="B22" s="445" t="s">
        <v>1001</v>
      </c>
      <c r="C22" s="445"/>
      <c r="D22" s="445"/>
      <c r="E22" s="445"/>
      <c r="F22" s="445"/>
      <c r="G22" s="445"/>
      <c r="H22" s="445"/>
      <c r="I22" s="445"/>
      <c r="J22" s="313"/>
    </row>
    <row r="23" spans="1:10" s="184" customFormat="1" ht="13.7" hidden="1" customHeight="1" x14ac:dyDescent="0.2">
      <c r="A23" s="205"/>
      <c r="B23" s="195"/>
      <c r="C23" s="195"/>
      <c r="D23" s="195"/>
      <c r="E23" s="195"/>
      <c r="F23" s="195"/>
      <c r="G23" s="208"/>
      <c r="H23" s="208"/>
      <c r="I23" s="208"/>
      <c r="J23" s="313"/>
    </row>
    <row r="24" spans="1:10" s="184" customFormat="1" ht="13.7" hidden="1" customHeight="1" x14ac:dyDescent="0.2">
      <c r="A24" s="205"/>
      <c r="B24" s="315" t="s">
        <v>1002</v>
      </c>
      <c r="C24" s="195"/>
      <c r="D24" s="195"/>
      <c r="E24" s="195"/>
      <c r="F24" s="195"/>
      <c r="G24" s="208"/>
      <c r="H24" s="208"/>
      <c r="I24" s="208"/>
      <c r="J24" s="313"/>
    </row>
    <row r="25" spans="1:10" s="184" customFormat="1" ht="13.7" hidden="1" customHeight="1" x14ac:dyDescent="0.25">
      <c r="A25" s="205"/>
      <c r="B25" s="317"/>
      <c r="C25" s="317"/>
      <c r="D25" s="317"/>
      <c r="E25" s="317"/>
      <c r="F25" s="317"/>
      <c r="G25" s="208"/>
      <c r="H25" s="208"/>
      <c r="I25" s="208"/>
      <c r="J25" s="313"/>
    </row>
    <row r="26" spans="1:10" s="184" customFormat="1" ht="42.75" hidden="1" customHeight="1" x14ac:dyDescent="0.2">
      <c r="A26" s="205"/>
      <c r="B26" s="445" t="s">
        <v>1003</v>
      </c>
      <c r="C26" s="445"/>
      <c r="D26" s="445"/>
      <c r="E26" s="445"/>
      <c r="F26" s="445"/>
      <c r="G26" s="445"/>
      <c r="H26" s="445"/>
      <c r="I26" s="445"/>
      <c r="J26" s="313"/>
    </row>
    <row r="27" spans="1:10" s="184" customFormat="1" ht="13.7" customHeight="1" x14ac:dyDescent="0.2">
      <c r="A27" s="205"/>
      <c r="B27" s="208"/>
      <c r="C27" s="208"/>
      <c r="D27" s="208"/>
      <c r="E27" s="208"/>
      <c r="F27" s="313"/>
      <c r="G27" s="208"/>
      <c r="H27" s="208"/>
      <c r="I27" s="208"/>
      <c r="J27" s="313"/>
    </row>
    <row r="28" spans="1:10" ht="13.7" customHeight="1" x14ac:dyDescent="0.2">
      <c r="A28" s="205">
        <f>ROUNDDOWN('Inv in assoc &amp; JVs, other inv'!A43,0)+1</f>
        <v>21</v>
      </c>
      <c r="B28" s="316" t="str">
        <f>"Note "&amp;A28&amp; " Inventories"</f>
        <v>Note 21 Inventories</v>
      </c>
      <c r="C28" s="326"/>
      <c r="D28" s="326"/>
      <c r="E28" s="326"/>
      <c r="F28" s="313"/>
      <c r="G28" s="326"/>
      <c r="H28" s="326"/>
      <c r="I28" s="326"/>
      <c r="J28" s="313"/>
    </row>
    <row r="29" spans="1:10" s="224" customFormat="1" ht="13.7" customHeight="1" x14ac:dyDescent="0.2">
      <c r="A29" s="205"/>
      <c r="B29" s="316"/>
      <c r="C29" s="460" t="s">
        <v>500</v>
      </c>
      <c r="D29" s="460"/>
      <c r="E29" s="460"/>
      <c r="F29" s="313"/>
      <c r="G29" s="460" t="s">
        <v>94</v>
      </c>
      <c r="H29" s="460"/>
      <c r="I29" s="460"/>
      <c r="J29" s="313"/>
    </row>
    <row r="30" spans="1:10" ht="28.35" customHeight="1" x14ac:dyDescent="0.2">
      <c r="A30" s="205"/>
      <c r="B30" s="328"/>
      <c r="C30" s="290" t="str">
        <f>TEXT(CurrentYearEnd, "d mmmm yyyy")</f>
        <v>31 March 2022</v>
      </c>
      <c r="D30" s="290"/>
      <c r="E30" s="290" t="str">
        <f>TEXT(ComparativeYearEnd, "d mmmm yyyy")</f>
        <v>31 March 2021</v>
      </c>
      <c r="F30" s="313"/>
      <c r="G30" s="290" t="str">
        <f>TEXT(CurrentYearEnd, "d mmmm yyyy")</f>
        <v>31 March 2022</v>
      </c>
      <c r="H30" s="290"/>
      <c r="I30" s="290" t="str">
        <f>TEXT(ComparativeYearEnd, "d mmmm yyyy")</f>
        <v>31 March 2021</v>
      </c>
      <c r="J30" s="313"/>
    </row>
    <row r="31" spans="1:10" ht="13.7" customHeight="1" x14ac:dyDescent="0.2">
      <c r="A31" s="205"/>
      <c r="B31" s="313"/>
      <c r="C31" s="290" t="s">
        <v>590</v>
      </c>
      <c r="D31" s="290"/>
      <c r="E31" s="290" t="s">
        <v>590</v>
      </c>
      <c r="F31" s="313"/>
      <c r="G31" s="290" t="s">
        <v>590</v>
      </c>
      <c r="H31" s="290"/>
      <c r="I31" s="290" t="s">
        <v>590</v>
      </c>
      <c r="J31" s="313"/>
    </row>
    <row r="32" spans="1:10" ht="13.7" customHeight="1" x14ac:dyDescent="0.2">
      <c r="A32" s="205"/>
      <c r="B32" s="327" t="s">
        <v>1004</v>
      </c>
      <c r="C32" s="219">
        <v>1600.8626999999979</v>
      </c>
      <c r="D32" s="219"/>
      <c r="E32" s="219">
        <v>1585.3388000000014</v>
      </c>
      <c r="F32" s="313"/>
      <c r="G32" s="219">
        <f>+C32-14</f>
        <v>1586.8626999999979</v>
      </c>
      <c r="H32" s="219"/>
      <c r="I32" s="219">
        <v>1558.3388000000014</v>
      </c>
      <c r="J32" s="427"/>
    </row>
    <row r="33" spans="1:10" ht="13.7" hidden="1" customHeight="1" x14ac:dyDescent="0.2">
      <c r="A33" s="205"/>
      <c r="B33" s="327" t="s">
        <v>1005</v>
      </c>
      <c r="C33" s="219">
        <v>0</v>
      </c>
      <c r="D33" s="219"/>
      <c r="E33" s="219">
        <v>0</v>
      </c>
      <c r="F33" s="313"/>
      <c r="G33" s="219"/>
      <c r="H33" s="219"/>
      <c r="I33" s="219">
        <v>0</v>
      </c>
      <c r="J33" s="313"/>
    </row>
    <row r="34" spans="1:10" ht="13.7" customHeight="1" x14ac:dyDescent="0.2">
      <c r="A34" s="205"/>
      <c r="B34" s="327" t="s">
        <v>1006</v>
      </c>
      <c r="C34" s="219">
        <v>1162.8940299999977</v>
      </c>
      <c r="D34" s="219"/>
      <c r="E34" s="219">
        <v>1146.38112</v>
      </c>
      <c r="F34" s="313"/>
      <c r="G34" s="219">
        <f>+C34</f>
        <v>1162.8940299999977</v>
      </c>
      <c r="H34" s="219"/>
      <c r="I34" s="219">
        <v>1146.38112</v>
      </c>
      <c r="J34" s="313"/>
    </row>
    <row r="35" spans="1:10" ht="13.7" customHeight="1" x14ac:dyDescent="0.2">
      <c r="A35" s="205"/>
      <c r="B35" s="327" t="s">
        <v>1007</v>
      </c>
      <c r="C35" s="219">
        <v>20.209310000000002</v>
      </c>
      <c r="D35" s="219"/>
      <c r="E35" s="219">
        <v>18.22</v>
      </c>
      <c r="F35" s="313"/>
      <c r="G35" s="219">
        <f t="shared" ref="G35:G36" si="0">+C35</f>
        <v>20.209310000000002</v>
      </c>
      <c r="H35" s="219"/>
      <c r="I35" s="219">
        <v>18.22</v>
      </c>
      <c r="J35" s="313"/>
    </row>
    <row r="36" spans="1:10" ht="13.7" customHeight="1" x14ac:dyDescent="0.2">
      <c r="A36" s="205"/>
      <c r="B36" s="327" t="s">
        <v>860</v>
      </c>
      <c r="C36" s="219">
        <v>772.91938000000016</v>
      </c>
      <c r="D36" s="219"/>
      <c r="E36" s="219">
        <v>689.79747999999995</v>
      </c>
      <c r="F36" s="313"/>
      <c r="G36" s="219">
        <f t="shared" si="0"/>
        <v>772.91938000000016</v>
      </c>
      <c r="H36" s="219"/>
      <c r="I36" s="219">
        <v>689.79747999999995</v>
      </c>
      <c r="J36" s="313"/>
    </row>
    <row r="37" spans="1:10" s="169" customFormat="1" ht="13.7" hidden="1" customHeight="1" x14ac:dyDescent="0.2">
      <c r="A37" s="205"/>
      <c r="B37" s="327" t="s">
        <v>1008</v>
      </c>
      <c r="C37" s="219">
        <v>0</v>
      </c>
      <c r="D37" s="219"/>
      <c r="E37" s="219">
        <v>0</v>
      </c>
      <c r="F37" s="313"/>
      <c r="G37" s="219"/>
      <c r="H37" s="219"/>
      <c r="I37" s="219"/>
      <c r="J37" s="313"/>
    </row>
    <row r="38" spans="1:10" ht="13.7" customHeight="1" thickBot="1" x14ac:dyDescent="0.25">
      <c r="A38" s="205"/>
      <c r="B38" s="289" t="s">
        <v>1009</v>
      </c>
      <c r="C38" s="206">
        <f>SUM(C32:C37)</f>
        <v>3556.885419999996</v>
      </c>
      <c r="D38" s="219"/>
      <c r="E38" s="206">
        <f>SUM(E32:E37)</f>
        <v>3439.7374000000009</v>
      </c>
      <c r="F38" s="313"/>
      <c r="G38" s="206">
        <f>SUM(G32:G37)</f>
        <v>3542.885419999996</v>
      </c>
      <c r="H38" s="219"/>
      <c r="I38" s="206">
        <f>SUM(I32:I37)</f>
        <v>3412.7374000000009</v>
      </c>
      <c r="J38" s="313"/>
    </row>
    <row r="39" spans="1:10" ht="13.7" customHeight="1" thickTop="1" x14ac:dyDescent="0.2">
      <c r="A39" s="205"/>
      <c r="B39" s="161" t="s">
        <v>1010</v>
      </c>
      <c r="C39" s="313"/>
      <c r="D39" s="313"/>
      <c r="E39" s="313"/>
      <c r="F39" s="313"/>
      <c r="G39" s="313"/>
      <c r="H39" s="313"/>
      <c r="I39" s="313"/>
      <c r="J39" s="313"/>
    </row>
    <row r="40" spans="1:10" s="160" customFormat="1" ht="13.7" customHeight="1" x14ac:dyDescent="0.2">
      <c r="A40" s="205"/>
      <c r="B40" s="162" t="s">
        <v>1011</v>
      </c>
      <c r="C40" s="219">
        <v>0</v>
      </c>
      <c r="D40" s="219"/>
      <c r="E40" s="219">
        <v>0</v>
      </c>
      <c r="F40" s="313"/>
      <c r="G40" s="219"/>
      <c r="H40" s="219"/>
      <c r="I40" s="219"/>
      <c r="J40" s="313"/>
    </row>
    <row r="41" spans="1:10" ht="13.7" customHeight="1" x14ac:dyDescent="0.2">
      <c r="A41" s="205"/>
      <c r="B41" s="313"/>
      <c r="C41" s="313"/>
      <c r="D41" s="313"/>
      <c r="E41" s="313"/>
      <c r="F41" s="313"/>
      <c r="G41" s="313"/>
      <c r="H41" s="313"/>
      <c r="I41" s="313"/>
      <c r="J41" s="313"/>
    </row>
    <row r="42" spans="1:10" ht="14.1" customHeight="1" x14ac:dyDescent="0.2">
      <c r="A42" s="205"/>
      <c r="B42" s="471" t="s">
        <v>1473</v>
      </c>
      <c r="C42" s="471"/>
      <c r="D42" s="471"/>
      <c r="E42" s="471"/>
      <c r="F42" s="471"/>
      <c r="G42" s="471"/>
      <c r="H42" s="471"/>
      <c r="I42" s="471"/>
      <c r="J42" s="313"/>
    </row>
    <row r="43" spans="1:10" ht="16.5" customHeight="1" x14ac:dyDescent="0.2">
      <c r="A43" s="205"/>
      <c r="B43" s="471"/>
      <c r="C43" s="471"/>
      <c r="D43" s="471"/>
      <c r="E43" s="471"/>
      <c r="F43" s="471"/>
      <c r="G43" s="471"/>
      <c r="H43" s="471"/>
      <c r="I43" s="471"/>
      <c r="J43" s="313"/>
    </row>
    <row r="44" spans="1:10" ht="10.9" customHeight="1" x14ac:dyDescent="0.2">
      <c r="A44" s="205"/>
      <c r="B44" s="46"/>
      <c r="C44" s="180"/>
      <c r="D44" s="180"/>
      <c r="E44" s="180"/>
      <c r="F44" s="313"/>
      <c r="G44" s="180"/>
      <c r="H44" s="180"/>
      <c r="I44" s="180"/>
      <c r="J44" s="313"/>
    </row>
    <row r="45" spans="1:10" s="224" customFormat="1" ht="8.1" customHeight="1" x14ac:dyDescent="0.2">
      <c r="A45" s="205"/>
      <c r="B45" s="46"/>
      <c r="C45" s="180"/>
      <c r="D45" s="180"/>
      <c r="E45" s="180"/>
      <c r="F45" s="313"/>
      <c r="G45" s="180"/>
      <c r="H45" s="180"/>
      <c r="I45" s="180"/>
      <c r="J45" s="314"/>
    </row>
    <row r="46" spans="1:10" ht="41.25" customHeight="1" x14ac:dyDescent="0.2">
      <c r="A46" s="205"/>
      <c r="B46" s="470" t="s">
        <v>1474</v>
      </c>
      <c r="C46" s="470"/>
      <c r="D46" s="470"/>
      <c r="E46" s="470"/>
      <c r="F46" s="470"/>
      <c r="G46" s="470"/>
      <c r="H46" s="470"/>
      <c r="I46" s="470"/>
      <c r="J46" s="314"/>
    </row>
    <row r="47" spans="1:10" ht="31.5" customHeight="1" x14ac:dyDescent="0.2">
      <c r="A47" s="205"/>
      <c r="B47" s="470" t="s">
        <v>1012</v>
      </c>
      <c r="C47" s="470"/>
      <c r="D47" s="470"/>
      <c r="E47" s="470"/>
      <c r="F47" s="470"/>
      <c r="G47" s="470"/>
      <c r="H47" s="470"/>
      <c r="I47" s="470"/>
      <c r="J47" s="314"/>
    </row>
    <row r="48" spans="1:10" ht="14.1" customHeight="1" x14ac:dyDescent="0.2">
      <c r="A48" s="313"/>
      <c r="B48" s="313"/>
      <c r="C48" s="313"/>
      <c r="D48" s="313"/>
      <c r="E48" s="313"/>
      <c r="F48" s="313"/>
      <c r="G48" s="313"/>
      <c r="H48" s="313"/>
      <c r="I48" s="313"/>
      <c r="J48" s="314"/>
    </row>
    <row r="49" spans="1:10" ht="14.1" customHeight="1" x14ac:dyDescent="0.2">
      <c r="A49" s="313"/>
      <c r="B49" s="313"/>
      <c r="C49" s="313"/>
      <c r="D49" s="313"/>
      <c r="E49" s="313"/>
      <c r="F49" s="313"/>
      <c r="G49" s="313"/>
      <c r="H49" s="313"/>
      <c r="I49" s="313"/>
      <c r="J49" s="314"/>
    </row>
    <row r="50" spans="1:10" ht="14.1" customHeight="1" x14ac:dyDescent="0.2">
      <c r="A50" s="313"/>
      <c r="B50" s="313"/>
      <c r="C50" s="313"/>
      <c r="D50" s="313"/>
      <c r="E50" s="313"/>
      <c r="F50" s="313"/>
      <c r="G50" s="313"/>
      <c r="H50" s="313"/>
      <c r="I50" s="313"/>
      <c r="J50" s="313"/>
    </row>
    <row r="51" spans="1:10" ht="14.1" customHeight="1" x14ac:dyDescent="0.2">
      <c r="A51" s="313"/>
      <c r="B51" s="313"/>
      <c r="C51" s="313"/>
      <c r="D51" s="313"/>
      <c r="E51" s="313"/>
      <c r="F51" s="313"/>
      <c r="G51" s="313"/>
      <c r="H51" s="313"/>
      <c r="I51" s="313"/>
      <c r="J51" s="313"/>
    </row>
    <row r="52" spans="1:10" ht="14.1" customHeight="1" x14ac:dyDescent="0.2">
      <c r="A52" s="313"/>
      <c r="B52" s="313"/>
      <c r="C52" s="313"/>
      <c r="D52" s="313"/>
      <c r="E52" s="313"/>
      <c r="F52" s="313"/>
      <c r="G52" s="313"/>
      <c r="H52" s="313"/>
      <c r="I52" s="313"/>
      <c r="J52" s="313"/>
    </row>
    <row r="53" spans="1:10" ht="14.1" customHeight="1" x14ac:dyDescent="0.2">
      <c r="A53" s="313"/>
      <c r="B53" s="313"/>
      <c r="C53" s="313"/>
      <c r="D53" s="313"/>
      <c r="E53" s="313"/>
      <c r="F53" s="313"/>
      <c r="G53" s="313"/>
      <c r="H53" s="313"/>
      <c r="I53" s="313"/>
      <c r="J53" s="313"/>
    </row>
    <row r="54" spans="1:10" ht="14.1" customHeight="1" x14ac:dyDescent="0.2">
      <c r="A54" s="313"/>
      <c r="B54" s="313"/>
      <c r="C54" s="313"/>
      <c r="D54" s="313"/>
      <c r="E54" s="313"/>
      <c r="F54" s="313"/>
      <c r="G54" s="313"/>
      <c r="H54" s="313"/>
      <c r="I54" s="313"/>
      <c r="J54" s="313"/>
    </row>
    <row r="55" spans="1:10" ht="14.1" customHeight="1" x14ac:dyDescent="0.2">
      <c r="A55" s="313"/>
      <c r="B55" s="313"/>
      <c r="C55" s="313"/>
      <c r="D55" s="313"/>
      <c r="E55" s="313"/>
      <c r="F55" s="313"/>
      <c r="G55" s="313"/>
      <c r="H55" s="313"/>
      <c r="I55" s="313"/>
      <c r="J55" s="313"/>
    </row>
    <row r="56" spans="1:10" ht="14.1" customHeight="1" x14ac:dyDescent="0.2">
      <c r="A56" s="313"/>
      <c r="B56" s="313"/>
      <c r="C56" s="313"/>
      <c r="D56" s="313"/>
      <c r="E56" s="313"/>
      <c r="F56" s="313"/>
      <c r="G56" s="313"/>
      <c r="H56" s="313"/>
      <c r="I56" s="313"/>
      <c r="J56" s="313"/>
    </row>
    <row r="57" spans="1:10" ht="14.1" customHeight="1" x14ac:dyDescent="0.2">
      <c r="A57" s="313"/>
      <c r="B57" s="313"/>
      <c r="C57" s="313"/>
      <c r="D57" s="313"/>
      <c r="E57" s="313"/>
      <c r="F57" s="313"/>
      <c r="G57" s="313"/>
      <c r="H57" s="313"/>
      <c r="I57" s="313"/>
      <c r="J57" s="313"/>
    </row>
    <row r="58" spans="1:10" ht="14.1" customHeight="1" x14ac:dyDescent="0.2">
      <c r="A58" s="313"/>
      <c r="B58" s="313"/>
      <c r="C58" s="313"/>
      <c r="D58" s="313"/>
      <c r="E58" s="313"/>
      <c r="F58" s="313"/>
      <c r="G58" s="313"/>
      <c r="H58" s="313"/>
      <c r="I58" s="313"/>
      <c r="J58" s="313"/>
    </row>
    <row r="59" spans="1:10" ht="14.1" customHeight="1" x14ac:dyDescent="0.2">
      <c r="A59" s="313"/>
      <c r="B59" s="313"/>
      <c r="C59" s="313"/>
      <c r="D59" s="313"/>
      <c r="E59" s="313"/>
      <c r="F59" s="313"/>
      <c r="G59" s="313"/>
      <c r="H59" s="313"/>
      <c r="I59" s="313"/>
      <c r="J59" s="313"/>
    </row>
    <row r="60" spans="1:10" ht="14.1" customHeight="1" x14ac:dyDescent="0.2">
      <c r="A60" s="313"/>
      <c r="B60" s="313"/>
      <c r="C60" s="313"/>
      <c r="D60" s="313"/>
      <c r="E60" s="313"/>
      <c r="F60" s="313"/>
      <c r="G60" s="313"/>
      <c r="H60" s="313"/>
      <c r="I60" s="313"/>
      <c r="J60" s="313"/>
    </row>
    <row r="61" spans="1:10" ht="14.1" customHeight="1" x14ac:dyDescent="0.2">
      <c r="A61" s="313"/>
      <c r="B61" s="313"/>
      <c r="C61" s="313"/>
      <c r="D61" s="313"/>
      <c r="E61" s="313"/>
      <c r="F61" s="313"/>
      <c r="G61" s="313"/>
      <c r="H61" s="313"/>
      <c r="I61" s="313"/>
      <c r="J61" s="313"/>
    </row>
    <row r="62" spans="1:10" ht="14.1" customHeight="1" x14ac:dyDescent="0.2">
      <c r="A62" s="313"/>
      <c r="B62" s="313"/>
      <c r="C62" s="313"/>
      <c r="D62" s="313"/>
      <c r="E62" s="313"/>
      <c r="F62" s="313"/>
      <c r="G62" s="313"/>
      <c r="H62" s="313"/>
      <c r="I62" s="313"/>
      <c r="J62" s="313"/>
    </row>
    <row r="63" spans="1:10" ht="14.1" customHeight="1" x14ac:dyDescent="0.2">
      <c r="A63" s="313"/>
      <c r="B63" s="313"/>
      <c r="C63" s="313"/>
      <c r="D63" s="313"/>
      <c r="E63" s="313"/>
      <c r="F63" s="313"/>
      <c r="G63" s="313"/>
      <c r="H63" s="313"/>
      <c r="I63" s="313"/>
    </row>
    <row r="64" spans="1:10" ht="14.1" customHeight="1" x14ac:dyDescent="0.2">
      <c r="A64" s="313"/>
      <c r="B64" s="313"/>
      <c r="C64" s="313"/>
      <c r="D64" s="313"/>
      <c r="E64" s="313"/>
      <c r="F64" s="313"/>
      <c r="G64" s="313"/>
      <c r="H64" s="313"/>
      <c r="I64" s="313"/>
    </row>
  </sheetData>
  <customSheetViews>
    <customSheetView guid="{EDC1BD6E-863A-4FC6-A3A9-F32079F4F0C1}">
      <selection activeCell="J16" sqref="J16"/>
      <pageMargins left="0" right="0" top="0" bottom="0" header="0" footer="0"/>
      <pageSetup paperSize="9" orientation="portrait" verticalDpi="0" r:id="rId1"/>
    </customSheetView>
  </customSheetViews>
  <mergeCells count="9">
    <mergeCell ref="B46:I46"/>
    <mergeCell ref="B47:I47"/>
    <mergeCell ref="B5:I5"/>
    <mergeCell ref="B9:I9"/>
    <mergeCell ref="B22:I22"/>
    <mergeCell ref="B26:I26"/>
    <mergeCell ref="C29:E29"/>
    <mergeCell ref="G29:I29"/>
    <mergeCell ref="B42:I43"/>
  </mergeCells>
  <pageMargins left="0.70866141732283472" right="0.70866141732283472" top="0.74803149606299213" bottom="0.74803149606299213" header="0.31496062992125984" footer="0.31496062992125984"/>
  <pageSetup paperSize="9" fitToHeight="0" orientation="portrait" verticalDpi="0" r:id="rId2"/>
  <headerFooter>
    <oddFooter>&amp;RPage &amp;P of &amp;N</oddFooter>
  </headerFooter>
  <ignoredErrors>
    <ignoredError sqref="C31:I31"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1">
    <pageSetUpPr fitToPage="1"/>
  </sheetPr>
  <dimension ref="A1:K70"/>
  <sheetViews>
    <sheetView showGridLines="0" zoomScaleNormal="100" workbookViewId="0">
      <selection activeCell="B40" sqref="B40"/>
    </sheetView>
  </sheetViews>
  <sheetFormatPr defaultColWidth="9.140625" defaultRowHeight="14.1" customHeight="1" x14ac:dyDescent="0.2"/>
  <cols>
    <col min="1" max="1" width="1.140625" style="38" customWidth="1"/>
    <col min="2" max="2" width="40.42578125" style="21" customWidth="1"/>
    <col min="3" max="3" width="10.7109375" style="21" customWidth="1"/>
    <col min="4" max="4" width="0.7109375" style="21" customWidth="1"/>
    <col min="5" max="5" width="10.7109375" style="21" customWidth="1"/>
    <col min="6" max="6" width="1" style="21" customWidth="1"/>
    <col min="7" max="7" width="10.7109375" style="169" customWidth="1"/>
    <col min="8" max="8" width="0.7109375" style="169" customWidth="1"/>
    <col min="9" max="9" width="10.7109375" style="169" customWidth="1"/>
    <col min="10" max="16384" width="9.140625" style="21"/>
  </cols>
  <sheetData>
    <row r="1" spans="1:11" s="313" customFormat="1" ht="14.1" customHeight="1" x14ac:dyDescent="0.2">
      <c r="A1" s="350" t="s">
        <v>1310</v>
      </c>
      <c r="B1" s="351"/>
      <c r="C1" s="351"/>
      <c r="D1" s="351"/>
      <c r="E1" s="351"/>
      <c r="F1" s="351"/>
      <c r="G1" s="351"/>
      <c r="H1" s="351"/>
      <c r="I1" s="351"/>
    </row>
    <row r="2" spans="1:11" s="313" customFormat="1" ht="14.1" customHeight="1" x14ac:dyDescent="0.2">
      <c r="A2" s="205"/>
    </row>
    <row r="3" spans="1:11" ht="13.7" customHeight="1" x14ac:dyDescent="0.2">
      <c r="A3" s="205">
        <f>ROUNDDOWN('Interests&amp;Inventory'!A28,0)+1.1</f>
        <v>22.1</v>
      </c>
      <c r="B3" s="289" t="str">
        <f>"Note "&amp;A3&amp; " Receivables"</f>
        <v>Note 22.1 Receivables</v>
      </c>
      <c r="C3" s="460"/>
      <c r="D3" s="460"/>
      <c r="E3" s="460"/>
      <c r="F3" s="313"/>
      <c r="G3" s="460"/>
      <c r="H3" s="460"/>
      <c r="I3" s="460"/>
      <c r="J3" s="313"/>
      <c r="K3" s="313"/>
    </row>
    <row r="4" spans="1:11" s="224" customFormat="1" ht="12" x14ac:dyDescent="0.2">
      <c r="A4" s="205"/>
      <c r="B4" s="316"/>
      <c r="C4" s="460" t="s">
        <v>500</v>
      </c>
      <c r="D4" s="460"/>
      <c r="E4" s="460"/>
      <c r="F4" s="313"/>
      <c r="G4" s="460" t="s">
        <v>94</v>
      </c>
      <c r="H4" s="460"/>
      <c r="I4" s="460"/>
      <c r="J4" s="313"/>
      <c r="K4" s="313"/>
    </row>
    <row r="5" spans="1:11" ht="25.15" customHeight="1" x14ac:dyDescent="0.2">
      <c r="A5" s="205"/>
      <c r="B5" s="313"/>
      <c r="C5" s="290" t="str">
        <f>TEXT(CurrentYearEnd, "d mmmm yyyy")</f>
        <v>31 March 2022</v>
      </c>
      <c r="D5" s="290"/>
      <c r="E5" s="290" t="str">
        <f>TEXT(ComparativeYearEnd, "d mmmm yyyy")</f>
        <v>31 March 2021</v>
      </c>
      <c r="F5" s="313"/>
      <c r="G5" s="290" t="str">
        <f>TEXT(CurrentYearEnd, "d mmmm yyyy")</f>
        <v>31 March 2022</v>
      </c>
      <c r="H5" s="290"/>
      <c r="I5" s="290" t="str">
        <f>TEXT(ComparativeYearEnd, "d mmmm yyyy")</f>
        <v>31 March 2021</v>
      </c>
      <c r="J5" s="313"/>
      <c r="K5" s="313"/>
    </row>
    <row r="6" spans="1:11" ht="14.1" customHeight="1" x14ac:dyDescent="0.2">
      <c r="A6" s="205"/>
      <c r="B6" s="313"/>
      <c r="C6" s="290" t="s">
        <v>590</v>
      </c>
      <c r="D6" s="290"/>
      <c r="E6" s="290" t="s">
        <v>590</v>
      </c>
      <c r="F6" s="313"/>
      <c r="G6" s="290" t="s">
        <v>590</v>
      </c>
      <c r="H6" s="290"/>
      <c r="I6" s="290" t="s">
        <v>590</v>
      </c>
      <c r="J6" s="313"/>
      <c r="K6" s="313"/>
    </row>
    <row r="7" spans="1:11" ht="14.1" customHeight="1" x14ac:dyDescent="0.2">
      <c r="A7" s="205"/>
      <c r="B7" s="316" t="s">
        <v>1013</v>
      </c>
      <c r="C7" s="199"/>
      <c r="D7" s="199"/>
      <c r="E7" s="199"/>
      <c r="F7" s="313"/>
      <c r="G7" s="199"/>
      <c r="H7" s="199"/>
      <c r="I7" s="199"/>
      <c r="J7" s="313"/>
      <c r="K7" s="313"/>
    </row>
    <row r="8" spans="1:11" s="242" customFormat="1" ht="14.1" customHeight="1" x14ac:dyDescent="0.2">
      <c r="A8" s="205"/>
      <c r="B8" s="327" t="s">
        <v>1014</v>
      </c>
      <c r="C8" s="219">
        <v>22391</v>
      </c>
      <c r="D8" s="219"/>
      <c r="E8" s="219">
        <v>19745</v>
      </c>
      <c r="F8" s="313"/>
      <c r="G8" s="219">
        <f>+C8-89</f>
        <v>22302</v>
      </c>
      <c r="H8" s="219"/>
      <c r="I8" s="219">
        <v>19686</v>
      </c>
      <c r="J8" s="313"/>
      <c r="K8" s="313"/>
    </row>
    <row r="9" spans="1:11" s="242" customFormat="1" ht="14.1" hidden="1" customHeight="1" x14ac:dyDescent="0.2">
      <c r="A9" s="205"/>
      <c r="B9" s="327" t="s">
        <v>1015</v>
      </c>
      <c r="C9" s="219">
        <v>0</v>
      </c>
      <c r="D9" s="219"/>
      <c r="E9" s="219">
        <v>0</v>
      </c>
      <c r="F9" s="313"/>
      <c r="G9" s="219"/>
      <c r="H9" s="219"/>
      <c r="I9" s="219"/>
      <c r="J9" s="313"/>
      <c r="K9" s="313"/>
    </row>
    <row r="10" spans="1:11" ht="13.7" hidden="1" customHeight="1" x14ac:dyDescent="0.2">
      <c r="A10" s="205"/>
      <c r="B10" s="327" t="s">
        <v>1016</v>
      </c>
      <c r="C10" s="219">
        <v>0</v>
      </c>
      <c r="D10" s="219"/>
      <c r="E10" s="219">
        <v>0</v>
      </c>
      <c r="F10" s="314"/>
      <c r="G10" s="219"/>
      <c r="H10" s="219"/>
      <c r="I10" s="219"/>
      <c r="J10" s="313"/>
      <c r="K10" s="313"/>
    </row>
    <row r="11" spans="1:11" ht="14.1" customHeight="1" x14ac:dyDescent="0.2">
      <c r="A11" s="205"/>
      <c r="B11" s="183" t="s">
        <v>1017</v>
      </c>
      <c r="C11" s="219">
        <v>-2298</v>
      </c>
      <c r="D11" s="219"/>
      <c r="E11" s="219">
        <v>-3869</v>
      </c>
      <c r="F11" s="314"/>
      <c r="G11" s="219">
        <f>+C11+2</f>
        <v>-2296</v>
      </c>
      <c r="H11" s="219"/>
      <c r="I11" s="219">
        <v>-3867</v>
      </c>
      <c r="J11" s="313"/>
      <c r="K11" s="313"/>
    </row>
    <row r="12" spans="1:11" s="242" customFormat="1" ht="14.1" hidden="1" customHeight="1" x14ac:dyDescent="0.2">
      <c r="A12" s="205"/>
      <c r="B12" s="327" t="s">
        <v>1018</v>
      </c>
      <c r="C12" s="219">
        <v>0</v>
      </c>
      <c r="D12" s="219"/>
      <c r="E12" s="219">
        <v>0</v>
      </c>
      <c r="F12" s="314"/>
      <c r="G12" s="219"/>
      <c r="H12" s="219"/>
      <c r="I12" s="219">
        <v>0</v>
      </c>
      <c r="J12" s="313"/>
      <c r="K12" s="313"/>
    </row>
    <row r="13" spans="1:11" ht="14.1" hidden="1" customHeight="1" x14ac:dyDescent="0.2">
      <c r="A13" s="205"/>
      <c r="B13" s="327" t="s">
        <v>1019</v>
      </c>
      <c r="C13" s="219">
        <v>0</v>
      </c>
      <c r="D13" s="219"/>
      <c r="E13" s="219">
        <v>0</v>
      </c>
      <c r="F13" s="314"/>
      <c r="G13" s="219"/>
      <c r="H13" s="219"/>
      <c r="I13" s="219">
        <v>0</v>
      </c>
      <c r="J13" s="313"/>
      <c r="K13" s="313"/>
    </row>
    <row r="14" spans="1:11" ht="14.1" customHeight="1" x14ac:dyDescent="0.2">
      <c r="A14" s="205"/>
      <c r="B14" s="327" t="s">
        <v>1443</v>
      </c>
      <c r="C14" s="219">
        <v>3221</v>
      </c>
      <c r="D14" s="219"/>
      <c r="E14" s="219">
        <v>2966</v>
      </c>
      <c r="F14" s="314"/>
      <c r="G14" s="219">
        <f>+C14-206-78</f>
        <v>2937</v>
      </c>
      <c r="H14" s="219"/>
      <c r="I14" s="219">
        <v>2671</v>
      </c>
      <c r="J14" s="313"/>
      <c r="K14" s="313"/>
    </row>
    <row r="15" spans="1:11" ht="14.1" hidden="1" customHeight="1" x14ac:dyDescent="0.2">
      <c r="A15" s="205"/>
      <c r="B15" s="327" t="s">
        <v>1020</v>
      </c>
      <c r="C15" s="219">
        <v>0</v>
      </c>
      <c r="D15" s="219"/>
      <c r="E15" s="219">
        <v>0</v>
      </c>
      <c r="F15" s="314"/>
      <c r="G15" s="219"/>
      <c r="H15" s="219"/>
      <c r="I15" s="219">
        <v>0</v>
      </c>
      <c r="J15" s="313"/>
      <c r="K15" s="313"/>
    </row>
    <row r="16" spans="1:11" ht="14.1" hidden="1" customHeight="1" x14ac:dyDescent="0.2">
      <c r="A16" s="205"/>
      <c r="B16" s="327" t="s">
        <v>1021</v>
      </c>
      <c r="C16" s="219">
        <v>0</v>
      </c>
      <c r="D16" s="219"/>
      <c r="E16" s="219">
        <v>0</v>
      </c>
      <c r="F16" s="314"/>
      <c r="G16" s="219"/>
      <c r="H16" s="219"/>
      <c r="I16" s="219">
        <v>0</v>
      </c>
      <c r="J16" s="313"/>
      <c r="K16" s="313"/>
    </row>
    <row r="17" spans="1:11" ht="14.1" hidden="1" customHeight="1" x14ac:dyDescent="0.2">
      <c r="A17" s="205"/>
      <c r="B17" s="327" t="s">
        <v>1022</v>
      </c>
      <c r="C17" s="219">
        <v>0</v>
      </c>
      <c r="D17" s="219"/>
      <c r="E17" s="219">
        <v>0</v>
      </c>
      <c r="F17" s="313"/>
      <c r="G17" s="219"/>
      <c r="H17" s="219"/>
      <c r="I17" s="219">
        <v>0</v>
      </c>
      <c r="J17" s="313"/>
      <c r="K17" s="313"/>
    </row>
    <row r="18" spans="1:11" ht="14.1" hidden="1" customHeight="1" x14ac:dyDescent="0.2">
      <c r="A18" s="205"/>
      <c r="B18" s="327" t="s">
        <v>1023</v>
      </c>
      <c r="C18" s="219">
        <v>0</v>
      </c>
      <c r="D18" s="219"/>
      <c r="E18" s="219">
        <v>0</v>
      </c>
      <c r="F18" s="313"/>
      <c r="G18" s="219"/>
      <c r="H18" s="219"/>
      <c r="I18" s="219">
        <v>0</v>
      </c>
      <c r="J18" s="313"/>
      <c r="K18" s="313"/>
    </row>
    <row r="19" spans="1:11" ht="14.1" customHeight="1" x14ac:dyDescent="0.2">
      <c r="A19" s="205"/>
      <c r="B19" s="327" t="s">
        <v>1024</v>
      </c>
      <c r="C19" s="219">
        <v>0</v>
      </c>
      <c r="D19" s="219"/>
      <c r="E19" s="219">
        <v>199</v>
      </c>
      <c r="F19" s="313"/>
      <c r="G19" s="219">
        <f>+C19</f>
        <v>0</v>
      </c>
      <c r="H19" s="219"/>
      <c r="I19" s="219">
        <v>199</v>
      </c>
      <c r="J19" s="313"/>
      <c r="K19" s="313"/>
    </row>
    <row r="20" spans="1:11" ht="14.1" customHeight="1" x14ac:dyDescent="0.2">
      <c r="A20" s="205"/>
      <c r="B20" s="327" t="s">
        <v>1025</v>
      </c>
      <c r="C20" s="219">
        <v>1012</v>
      </c>
      <c r="D20" s="219"/>
      <c r="E20" s="219">
        <v>622</v>
      </c>
      <c r="F20" s="313"/>
      <c r="G20" s="219">
        <f>+C20</f>
        <v>1012</v>
      </c>
      <c r="H20" s="219"/>
      <c r="I20" s="219">
        <v>622</v>
      </c>
      <c r="J20" s="313"/>
      <c r="K20" s="313"/>
    </row>
    <row r="21" spans="1:11" ht="14.1" hidden="1" customHeight="1" x14ac:dyDescent="0.2">
      <c r="A21" s="205"/>
      <c r="B21" s="327" t="s">
        <v>1026</v>
      </c>
      <c r="C21" s="219">
        <v>0</v>
      </c>
      <c r="D21" s="219"/>
      <c r="E21" s="219">
        <v>0</v>
      </c>
      <c r="F21" s="313"/>
      <c r="G21" s="219"/>
      <c r="H21" s="219"/>
      <c r="I21" s="219">
        <v>0</v>
      </c>
      <c r="J21" s="313"/>
      <c r="K21" s="313"/>
    </row>
    <row r="22" spans="1:11" ht="14.1" customHeight="1" x14ac:dyDescent="0.2">
      <c r="A22" s="205"/>
      <c r="B22" s="327" t="s">
        <v>1027</v>
      </c>
      <c r="C22" s="219">
        <v>550</v>
      </c>
      <c r="D22" s="219"/>
      <c r="E22" s="219">
        <v>823</v>
      </c>
      <c r="F22" s="313"/>
      <c r="G22" s="219">
        <f>+C22-231</f>
        <v>319</v>
      </c>
      <c r="H22" s="219"/>
      <c r="I22" s="219">
        <v>596</v>
      </c>
      <c r="J22" s="313"/>
      <c r="K22" s="313"/>
    </row>
    <row r="23" spans="1:11" s="169" customFormat="1" ht="13.7" hidden="1" customHeight="1" x14ac:dyDescent="0.2">
      <c r="A23" s="205"/>
      <c r="B23" s="327" t="s">
        <v>1028</v>
      </c>
      <c r="C23" s="219">
        <v>0</v>
      </c>
      <c r="D23" s="219"/>
      <c r="E23" s="219">
        <v>0</v>
      </c>
      <c r="F23" s="313"/>
      <c r="G23" s="219"/>
      <c r="H23" s="219"/>
      <c r="I23" s="219"/>
      <c r="J23" s="313"/>
      <c r="K23" s="313"/>
    </row>
    <row r="24" spans="1:11" ht="14.1" customHeight="1" thickBot="1" x14ac:dyDescent="0.25">
      <c r="A24" s="205"/>
      <c r="B24" s="289" t="s">
        <v>1029</v>
      </c>
      <c r="C24" s="206">
        <f>SUM(C8:C23)</f>
        <v>24876</v>
      </c>
      <c r="D24" s="219"/>
      <c r="E24" s="206">
        <f>SUM(E8:E23)</f>
        <v>20486</v>
      </c>
      <c r="F24" s="313"/>
      <c r="G24" s="206">
        <f>SUM(G8:G23)</f>
        <v>24274</v>
      </c>
      <c r="H24" s="219"/>
      <c r="I24" s="206">
        <f>SUM(I8:I23)</f>
        <v>19907</v>
      </c>
      <c r="J24" s="313"/>
      <c r="K24" s="313"/>
    </row>
    <row r="25" spans="1:11" ht="10.35" customHeight="1" thickTop="1" x14ac:dyDescent="0.2">
      <c r="A25" s="205"/>
      <c r="B25" s="313"/>
      <c r="C25" s="203"/>
      <c r="D25" s="203"/>
      <c r="E25" s="203"/>
      <c r="F25" s="313"/>
      <c r="G25" s="203"/>
      <c r="H25" s="203"/>
      <c r="I25" s="203"/>
      <c r="J25" s="313"/>
      <c r="K25" s="313"/>
    </row>
    <row r="26" spans="1:11" ht="14.1" customHeight="1" x14ac:dyDescent="0.2">
      <c r="A26" s="205"/>
      <c r="B26" s="316" t="s">
        <v>1030</v>
      </c>
      <c r="C26" s="199"/>
      <c r="D26" s="199"/>
      <c r="E26" s="199"/>
      <c r="F26" s="313"/>
      <c r="G26" s="199"/>
      <c r="H26" s="199"/>
      <c r="I26" s="199"/>
      <c r="J26" s="313"/>
      <c r="K26" s="313"/>
    </row>
    <row r="27" spans="1:11" s="242" customFormat="1" ht="14.1" hidden="1" customHeight="1" x14ac:dyDescent="0.2">
      <c r="A27" s="205"/>
      <c r="B27" s="327" t="s">
        <v>1014</v>
      </c>
      <c r="C27" s="219">
        <v>0</v>
      </c>
      <c r="D27" s="219"/>
      <c r="E27" s="219">
        <v>0</v>
      </c>
      <c r="F27" s="313"/>
      <c r="G27" s="219"/>
      <c r="H27" s="219"/>
      <c r="I27" s="219"/>
      <c r="J27" s="313"/>
      <c r="K27" s="313"/>
    </row>
    <row r="28" spans="1:11" s="242" customFormat="1" ht="14.1" hidden="1" customHeight="1" x14ac:dyDescent="0.2">
      <c r="A28" s="205"/>
      <c r="B28" s="327" t="s">
        <v>1015</v>
      </c>
      <c r="C28" s="219">
        <v>0</v>
      </c>
      <c r="D28" s="219"/>
      <c r="E28" s="219">
        <v>0</v>
      </c>
      <c r="F28" s="313"/>
      <c r="G28" s="219"/>
      <c r="H28" s="219"/>
      <c r="I28" s="219"/>
      <c r="J28" s="313"/>
      <c r="K28" s="313"/>
    </row>
    <row r="29" spans="1:11" ht="13.7" hidden="1" customHeight="1" x14ac:dyDescent="0.2">
      <c r="A29" s="205"/>
      <c r="B29" s="327" t="s">
        <v>1016</v>
      </c>
      <c r="C29" s="219">
        <v>0</v>
      </c>
      <c r="D29" s="219"/>
      <c r="E29" s="219">
        <v>0</v>
      </c>
      <c r="F29" s="313"/>
      <c r="G29" s="219"/>
      <c r="H29" s="219"/>
      <c r="I29" s="219"/>
      <c r="J29" s="313"/>
      <c r="K29" s="313"/>
    </row>
    <row r="30" spans="1:11" ht="14.1" hidden="1" customHeight="1" x14ac:dyDescent="0.2">
      <c r="A30" s="205"/>
      <c r="B30" s="183" t="s">
        <v>1017</v>
      </c>
      <c r="C30" s="219">
        <v>0</v>
      </c>
      <c r="D30" s="219"/>
      <c r="E30" s="219">
        <v>0</v>
      </c>
      <c r="F30" s="314"/>
      <c r="G30" s="219"/>
      <c r="H30" s="219"/>
      <c r="I30" s="219"/>
      <c r="J30" s="313"/>
      <c r="K30" s="313"/>
    </row>
    <row r="31" spans="1:11" s="242" customFormat="1" ht="14.1" hidden="1" customHeight="1" x14ac:dyDescent="0.2">
      <c r="A31" s="205"/>
      <c r="B31" s="327" t="s">
        <v>1018</v>
      </c>
      <c r="C31" s="219">
        <v>0</v>
      </c>
      <c r="D31" s="219"/>
      <c r="E31" s="219">
        <v>0</v>
      </c>
      <c r="F31" s="314"/>
      <c r="G31" s="219"/>
      <c r="H31" s="219"/>
      <c r="I31" s="219"/>
      <c r="J31" s="313"/>
      <c r="K31" s="313"/>
    </row>
    <row r="32" spans="1:11" ht="14.1" hidden="1" customHeight="1" x14ac:dyDescent="0.2">
      <c r="A32" s="205"/>
      <c r="B32" s="327" t="s">
        <v>1019</v>
      </c>
      <c r="C32" s="219">
        <v>0</v>
      </c>
      <c r="D32" s="219"/>
      <c r="E32" s="219">
        <v>0</v>
      </c>
      <c r="F32" s="314"/>
      <c r="G32" s="219"/>
      <c r="H32" s="219"/>
      <c r="I32" s="219"/>
      <c r="J32" s="313"/>
      <c r="K32" s="313"/>
    </row>
    <row r="33" spans="1:11" ht="14.1" customHeight="1" x14ac:dyDescent="0.2">
      <c r="A33" s="205"/>
      <c r="B33" s="327" t="s">
        <v>1443</v>
      </c>
      <c r="C33" s="219">
        <v>0</v>
      </c>
      <c r="D33" s="219"/>
      <c r="E33" s="219">
        <v>204</v>
      </c>
      <c r="F33" s="314"/>
      <c r="G33" s="219">
        <f>+C33</f>
        <v>0</v>
      </c>
      <c r="H33" s="219"/>
      <c r="I33" s="219">
        <v>204</v>
      </c>
      <c r="J33" s="313"/>
      <c r="K33" s="313"/>
    </row>
    <row r="34" spans="1:11" ht="14.1" hidden="1" customHeight="1" x14ac:dyDescent="0.2">
      <c r="A34" s="205"/>
      <c r="B34" s="327" t="s">
        <v>1020</v>
      </c>
      <c r="C34" s="219">
        <v>0</v>
      </c>
      <c r="D34" s="219"/>
      <c r="E34" s="219">
        <v>0</v>
      </c>
      <c r="F34" s="313"/>
      <c r="G34" s="219"/>
      <c r="H34" s="219"/>
      <c r="I34" s="219">
        <v>0</v>
      </c>
      <c r="J34" s="313"/>
      <c r="K34" s="313"/>
    </row>
    <row r="35" spans="1:11" ht="14.1" hidden="1" customHeight="1" x14ac:dyDescent="0.2">
      <c r="A35" s="205"/>
      <c r="B35" s="327" t="s">
        <v>1021</v>
      </c>
      <c r="C35" s="219">
        <v>0</v>
      </c>
      <c r="D35" s="219"/>
      <c r="E35" s="219">
        <v>0</v>
      </c>
      <c r="F35" s="313"/>
      <c r="G35" s="219"/>
      <c r="H35" s="219"/>
      <c r="I35" s="219">
        <v>0</v>
      </c>
    </row>
    <row r="36" spans="1:11" ht="14.1" hidden="1" customHeight="1" x14ac:dyDescent="0.2">
      <c r="A36" s="205"/>
      <c r="B36" s="327" t="s">
        <v>1022</v>
      </c>
      <c r="C36" s="219">
        <v>0</v>
      </c>
      <c r="D36" s="219"/>
      <c r="E36" s="219">
        <v>0</v>
      </c>
      <c r="F36" s="313"/>
      <c r="G36" s="219"/>
      <c r="H36" s="219"/>
      <c r="I36" s="219">
        <v>0</v>
      </c>
    </row>
    <row r="37" spans="1:11" ht="14.1" hidden="1" customHeight="1" x14ac:dyDescent="0.2">
      <c r="A37" s="205"/>
      <c r="B37" s="327" t="s">
        <v>1023</v>
      </c>
      <c r="C37" s="219">
        <v>0</v>
      </c>
      <c r="D37" s="219"/>
      <c r="E37" s="219">
        <v>0</v>
      </c>
      <c r="F37" s="313"/>
      <c r="G37" s="219"/>
      <c r="H37" s="219"/>
      <c r="I37" s="219">
        <v>0</v>
      </c>
    </row>
    <row r="38" spans="1:11" ht="14.1" hidden="1" customHeight="1" x14ac:dyDescent="0.2">
      <c r="A38" s="205"/>
      <c r="B38" s="327" t="s">
        <v>1025</v>
      </c>
      <c r="C38" s="219">
        <v>0</v>
      </c>
      <c r="D38" s="219"/>
      <c r="E38" s="219">
        <v>0</v>
      </c>
      <c r="F38" s="313"/>
      <c r="G38" s="219"/>
      <c r="H38" s="219"/>
      <c r="I38" s="219">
        <v>0</v>
      </c>
    </row>
    <row r="39" spans="1:11" ht="14.1" hidden="1" customHeight="1" x14ac:dyDescent="0.2">
      <c r="A39" s="205"/>
      <c r="B39" s="327" t="s">
        <v>1026</v>
      </c>
      <c r="C39" s="219">
        <v>0</v>
      </c>
      <c r="D39" s="219"/>
      <c r="E39" s="219">
        <v>0</v>
      </c>
      <c r="F39" s="313"/>
      <c r="G39" s="219"/>
      <c r="H39" s="219"/>
      <c r="I39" s="219">
        <v>0</v>
      </c>
    </row>
    <row r="40" spans="1:11" ht="14.1" customHeight="1" x14ac:dyDescent="0.2">
      <c r="A40" s="205"/>
      <c r="B40" s="327" t="s">
        <v>1027</v>
      </c>
      <c r="C40" s="219">
        <v>263</v>
      </c>
      <c r="D40" s="219"/>
      <c r="E40" s="219">
        <v>691</v>
      </c>
      <c r="F40" s="313"/>
      <c r="G40" s="219">
        <f>+C40</f>
        <v>263</v>
      </c>
      <c r="H40" s="219"/>
      <c r="I40" s="219">
        <v>691</v>
      </c>
    </row>
    <row r="41" spans="1:11" s="169" customFormat="1" ht="13.7" hidden="1" customHeight="1" x14ac:dyDescent="0.2">
      <c r="A41" s="205"/>
      <c r="B41" s="327" t="s">
        <v>1028</v>
      </c>
      <c r="C41" s="219">
        <v>0</v>
      </c>
      <c r="D41" s="219"/>
      <c r="E41" s="219">
        <v>0</v>
      </c>
      <c r="F41" s="313"/>
      <c r="G41" s="219"/>
      <c r="H41" s="219"/>
      <c r="I41" s="219"/>
    </row>
    <row r="42" spans="1:11" ht="13.7" customHeight="1" thickBot="1" x14ac:dyDescent="0.25">
      <c r="A42" s="205"/>
      <c r="B42" s="326" t="s">
        <v>1031</v>
      </c>
      <c r="C42" s="206">
        <f>SUM(C27:C41)</f>
        <v>263</v>
      </c>
      <c r="D42" s="219"/>
      <c r="E42" s="206">
        <f>SUM(E27:E41)</f>
        <v>895</v>
      </c>
      <c r="F42" s="313"/>
      <c r="G42" s="206">
        <f>SUM(G27:G41)</f>
        <v>263</v>
      </c>
      <c r="H42" s="219"/>
      <c r="I42" s="206">
        <f>SUM(I27:I41)</f>
        <v>895</v>
      </c>
    </row>
    <row r="43" spans="1:11" ht="13.7" customHeight="1" thickTop="1" x14ac:dyDescent="0.2">
      <c r="A43" s="205"/>
      <c r="B43" s="229" t="s">
        <v>1032</v>
      </c>
      <c r="C43" s="313"/>
      <c r="D43" s="313"/>
      <c r="E43" s="313"/>
      <c r="F43" s="313"/>
      <c r="G43" s="313"/>
      <c r="H43" s="313"/>
      <c r="I43" s="313"/>
    </row>
    <row r="44" spans="1:11" ht="14.1" customHeight="1" x14ac:dyDescent="0.2">
      <c r="A44" s="205"/>
      <c r="B44" s="327" t="s">
        <v>1013</v>
      </c>
      <c r="C44" s="219">
        <v>7348</v>
      </c>
      <c r="D44" s="219"/>
      <c r="E44" s="219">
        <v>8824</v>
      </c>
      <c r="F44" s="313"/>
      <c r="G44" s="219">
        <f>+C44</f>
        <v>7348</v>
      </c>
      <c r="H44" s="219"/>
      <c r="I44" s="219">
        <v>8824</v>
      </c>
    </row>
    <row r="45" spans="1:11" ht="14.1" customHeight="1" x14ac:dyDescent="0.2">
      <c r="A45" s="205"/>
      <c r="B45" s="327" t="s">
        <v>1030</v>
      </c>
      <c r="C45" s="219">
        <v>263</v>
      </c>
      <c r="D45" s="219"/>
      <c r="E45" s="219">
        <v>691</v>
      </c>
      <c r="F45" s="313"/>
      <c r="G45" s="219">
        <f>+C45</f>
        <v>263</v>
      </c>
      <c r="H45" s="219"/>
      <c r="I45" s="219">
        <v>691</v>
      </c>
    </row>
    <row r="46" spans="1:11" ht="8.85" customHeight="1" x14ac:dyDescent="0.2">
      <c r="A46" s="205"/>
      <c r="B46" s="313"/>
      <c r="C46" s="313"/>
      <c r="D46" s="313"/>
      <c r="E46" s="313"/>
      <c r="F46" s="313"/>
      <c r="G46" s="313"/>
      <c r="H46" s="313"/>
      <c r="I46" s="313"/>
    </row>
    <row r="47" spans="1:11" ht="14.1" customHeight="1" x14ac:dyDescent="0.2">
      <c r="A47" s="205"/>
      <c r="B47" s="453"/>
      <c r="C47" s="453"/>
      <c r="D47" s="453"/>
      <c r="E47" s="453"/>
      <c r="F47" s="453"/>
      <c r="G47" s="453"/>
      <c r="H47" s="453"/>
      <c r="I47" s="453"/>
    </row>
    <row r="48" spans="1:11" ht="14.1" customHeight="1" x14ac:dyDescent="0.2">
      <c r="A48" s="205"/>
      <c r="B48" s="453"/>
      <c r="C48" s="453"/>
      <c r="D48" s="453"/>
      <c r="E48" s="453"/>
      <c r="F48" s="453"/>
      <c r="G48" s="453"/>
      <c r="H48" s="453"/>
      <c r="I48" s="453"/>
    </row>
    <row r="49" spans="1:9" ht="14.1" customHeight="1" x14ac:dyDescent="0.2">
      <c r="A49" s="205"/>
      <c r="B49" s="453"/>
      <c r="C49" s="453"/>
      <c r="D49" s="453"/>
      <c r="E49" s="453"/>
      <c r="F49" s="453"/>
      <c r="G49" s="453"/>
      <c r="H49" s="453"/>
      <c r="I49" s="453"/>
    </row>
    <row r="50" spans="1:9" ht="14.1" customHeight="1" x14ac:dyDescent="0.2">
      <c r="A50" s="205"/>
      <c r="B50" s="453"/>
      <c r="C50" s="453"/>
      <c r="D50" s="453"/>
      <c r="E50" s="453"/>
      <c r="F50" s="453"/>
      <c r="G50" s="453"/>
      <c r="H50" s="453"/>
      <c r="I50" s="453"/>
    </row>
    <row r="52" spans="1:9" ht="14.1" customHeight="1" x14ac:dyDescent="0.2">
      <c r="A52" s="313"/>
      <c r="B52" s="313"/>
      <c r="C52" s="313"/>
      <c r="D52" s="313"/>
      <c r="E52" s="313"/>
      <c r="F52" s="313"/>
      <c r="G52" s="313"/>
      <c r="H52" s="313"/>
      <c r="I52" s="313"/>
    </row>
    <row r="53" spans="1:9" ht="14.1" customHeight="1" x14ac:dyDescent="0.2">
      <c r="A53" s="313"/>
      <c r="B53" s="313"/>
      <c r="C53" s="313"/>
      <c r="D53" s="313"/>
      <c r="E53" s="313"/>
      <c r="F53" s="313"/>
      <c r="G53" s="313"/>
      <c r="H53" s="313"/>
      <c r="I53" s="313"/>
    </row>
    <row r="54" spans="1:9" ht="14.1" customHeight="1" x14ac:dyDescent="0.2">
      <c r="A54" s="313"/>
      <c r="B54" s="313"/>
      <c r="C54" s="313"/>
      <c r="D54" s="313"/>
      <c r="E54" s="313"/>
      <c r="F54" s="313"/>
      <c r="G54" s="313"/>
      <c r="H54" s="313"/>
      <c r="I54" s="313"/>
    </row>
    <row r="55" spans="1:9" ht="14.1" customHeight="1" x14ac:dyDescent="0.2">
      <c r="A55" s="313"/>
      <c r="B55" s="313"/>
      <c r="C55" s="313"/>
      <c r="D55" s="313"/>
      <c r="E55" s="313"/>
      <c r="F55" s="313"/>
      <c r="G55" s="313"/>
      <c r="H55" s="313"/>
      <c r="I55" s="313"/>
    </row>
    <row r="56" spans="1:9" ht="14.1" customHeight="1" x14ac:dyDescent="0.2">
      <c r="A56" s="313"/>
      <c r="B56" s="313"/>
      <c r="C56" s="313"/>
      <c r="D56" s="313"/>
      <c r="E56" s="313"/>
      <c r="F56" s="313"/>
      <c r="G56" s="313"/>
      <c r="H56" s="313"/>
      <c r="I56" s="313"/>
    </row>
    <row r="57" spans="1:9" ht="14.1" customHeight="1" x14ac:dyDescent="0.2">
      <c r="A57" s="313"/>
      <c r="B57" s="313"/>
      <c r="C57" s="313"/>
      <c r="D57" s="313"/>
      <c r="E57" s="313"/>
      <c r="F57" s="313"/>
      <c r="G57" s="313"/>
      <c r="H57" s="313"/>
      <c r="I57" s="313"/>
    </row>
    <row r="58" spans="1:9" ht="14.1" customHeight="1" x14ac:dyDescent="0.2">
      <c r="A58" s="313"/>
      <c r="B58" s="313"/>
      <c r="C58" s="313"/>
      <c r="D58" s="313"/>
      <c r="E58" s="313"/>
      <c r="F58" s="313"/>
      <c r="G58" s="313"/>
      <c r="H58" s="313"/>
      <c r="I58" s="313"/>
    </row>
    <row r="59" spans="1:9" ht="14.1" customHeight="1" x14ac:dyDescent="0.2">
      <c r="A59" s="313"/>
      <c r="B59" s="313"/>
      <c r="C59" s="313"/>
      <c r="D59" s="313"/>
      <c r="E59" s="313"/>
      <c r="F59" s="313"/>
      <c r="G59" s="313"/>
      <c r="H59" s="313"/>
      <c r="I59" s="313"/>
    </row>
    <row r="60" spans="1:9" ht="14.1" customHeight="1" x14ac:dyDescent="0.2">
      <c r="A60" s="313"/>
      <c r="B60" s="313"/>
      <c r="C60" s="313"/>
      <c r="D60" s="313"/>
      <c r="E60" s="313"/>
      <c r="F60" s="313"/>
      <c r="G60" s="313"/>
      <c r="H60" s="313"/>
      <c r="I60" s="313"/>
    </row>
    <row r="61" spans="1:9" ht="14.1" customHeight="1" x14ac:dyDescent="0.2">
      <c r="A61" s="313"/>
      <c r="B61" s="313"/>
      <c r="C61" s="313"/>
      <c r="D61" s="313"/>
      <c r="E61" s="313"/>
      <c r="F61" s="313"/>
      <c r="G61" s="313"/>
      <c r="H61" s="313"/>
      <c r="I61" s="313"/>
    </row>
    <row r="62" spans="1:9" ht="14.1" customHeight="1" x14ac:dyDescent="0.2">
      <c r="A62" s="313"/>
      <c r="B62" s="313"/>
      <c r="C62" s="313"/>
      <c r="D62" s="313"/>
      <c r="E62" s="313"/>
      <c r="F62" s="313"/>
      <c r="G62" s="313"/>
      <c r="H62" s="313"/>
      <c r="I62" s="313"/>
    </row>
    <row r="63" spans="1:9" ht="14.1" customHeight="1" x14ac:dyDescent="0.2">
      <c r="A63" s="313"/>
      <c r="B63" s="313"/>
      <c r="C63" s="313"/>
      <c r="D63" s="313"/>
      <c r="E63" s="313"/>
      <c r="F63" s="313"/>
      <c r="G63" s="313"/>
      <c r="H63" s="313"/>
      <c r="I63" s="313"/>
    </row>
    <row r="64" spans="1:9" ht="14.1" customHeight="1" x14ac:dyDescent="0.2">
      <c r="A64" s="313"/>
      <c r="B64" s="313"/>
      <c r="C64" s="313"/>
      <c r="D64" s="313"/>
      <c r="E64" s="313"/>
      <c r="F64" s="313"/>
      <c r="G64" s="313"/>
      <c r="H64" s="313"/>
      <c r="I64" s="313"/>
    </row>
    <row r="65" spans="1:9" ht="14.1" customHeight="1" x14ac:dyDescent="0.2">
      <c r="A65" s="313"/>
      <c r="B65" s="313"/>
      <c r="C65" s="313"/>
      <c r="D65" s="313"/>
      <c r="E65" s="313"/>
      <c r="F65" s="313"/>
      <c r="G65" s="313"/>
      <c r="H65" s="313"/>
      <c r="I65" s="313"/>
    </row>
    <row r="66" spans="1:9" ht="14.1" customHeight="1" x14ac:dyDescent="0.2">
      <c r="A66" s="313"/>
      <c r="B66" s="313"/>
      <c r="C66" s="313"/>
      <c r="D66" s="313"/>
      <c r="E66" s="313"/>
      <c r="F66" s="313"/>
      <c r="G66" s="313"/>
      <c r="H66" s="313"/>
      <c r="I66" s="313"/>
    </row>
    <row r="67" spans="1:9" ht="14.1" customHeight="1" x14ac:dyDescent="0.2">
      <c r="A67" s="313"/>
      <c r="B67" s="313"/>
      <c r="C67" s="313"/>
      <c r="D67" s="313"/>
      <c r="E67" s="313"/>
      <c r="F67" s="313"/>
      <c r="G67" s="313"/>
      <c r="H67" s="313"/>
      <c r="I67" s="313"/>
    </row>
    <row r="68" spans="1:9" ht="14.1" customHeight="1" x14ac:dyDescent="0.2">
      <c r="A68" s="313"/>
      <c r="B68" s="313"/>
      <c r="C68" s="313"/>
      <c r="D68" s="313"/>
      <c r="E68" s="313"/>
      <c r="F68" s="313"/>
      <c r="G68" s="313"/>
      <c r="H68" s="313"/>
      <c r="I68" s="313"/>
    </row>
    <row r="69" spans="1:9" ht="14.1" customHeight="1" x14ac:dyDescent="0.2">
      <c r="A69" s="313"/>
      <c r="B69" s="313"/>
      <c r="C69" s="313"/>
      <c r="D69" s="313"/>
      <c r="E69" s="313"/>
      <c r="F69" s="313"/>
      <c r="G69" s="313"/>
      <c r="H69" s="313"/>
      <c r="I69" s="313"/>
    </row>
    <row r="70" spans="1:9" ht="14.1" customHeight="1" x14ac:dyDescent="0.2">
      <c r="A70" s="313"/>
      <c r="B70" s="313"/>
      <c r="C70" s="313"/>
      <c r="D70" s="313"/>
      <c r="E70" s="313"/>
      <c r="F70" s="313"/>
      <c r="G70" s="313"/>
      <c r="H70" s="313"/>
      <c r="I70" s="313"/>
    </row>
  </sheetData>
  <customSheetViews>
    <customSheetView guid="{EDC1BD6E-863A-4FC6-A3A9-F32079F4F0C1}">
      <selection activeCell="L23" sqref="L23"/>
      <pageMargins left="0" right="0" top="0" bottom="0" header="0" footer="0"/>
      <pageSetup paperSize="9" orientation="portrait" verticalDpi="0" r:id="rId1"/>
    </customSheetView>
  </customSheetViews>
  <mergeCells count="5">
    <mergeCell ref="B47:I50"/>
    <mergeCell ref="C3:E3"/>
    <mergeCell ref="G3:I3"/>
    <mergeCell ref="C4:E4"/>
    <mergeCell ref="G4:I4"/>
  </mergeCells>
  <pageMargins left="0.70866141732283472" right="0.70866141732283472" top="0.74803149606299213" bottom="0.74803149606299213" header="0.31496062992125984" footer="0.31496062992125984"/>
  <pageSetup paperSize="9" fitToHeight="0" orientation="portrait" verticalDpi="0" r:id="rId2"/>
  <headerFooter>
    <oddFooter>&amp;RPage &amp;P of &amp;N</oddFooter>
  </headerFooter>
  <ignoredErrors>
    <ignoredError sqref="C6:I6"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2"/>
  <dimension ref="A1:G37"/>
  <sheetViews>
    <sheetView showGridLines="0" zoomScaleNormal="100" workbookViewId="0">
      <selection activeCell="F4" sqref="F4:G4"/>
    </sheetView>
  </sheetViews>
  <sheetFormatPr defaultColWidth="9.140625" defaultRowHeight="14.1" customHeight="1" x14ac:dyDescent="0.2"/>
  <cols>
    <col min="1" max="1" width="1.7109375" style="38" customWidth="1"/>
    <col min="2" max="2" width="55.85546875" style="21" customWidth="1"/>
    <col min="3" max="3" width="11.85546875" style="21" bestFit="1" customWidth="1"/>
    <col min="4" max="4" width="10.7109375" style="21" hidden="1" customWidth="1"/>
    <col min="5" max="5" width="1" style="21" customWidth="1"/>
    <col min="6" max="6" width="11.85546875" style="21" bestFit="1" customWidth="1"/>
    <col min="7" max="7" width="10.7109375" style="21" hidden="1" customWidth="1"/>
    <col min="8" max="16384" width="9.140625" style="21"/>
  </cols>
  <sheetData>
    <row r="1" spans="1:7" s="313" customFormat="1" ht="14.1" customHeight="1" x14ac:dyDescent="0.2">
      <c r="A1" s="350" t="s">
        <v>1310</v>
      </c>
      <c r="B1" s="351"/>
      <c r="C1" s="351"/>
      <c r="D1" s="351"/>
      <c r="E1" s="351"/>
      <c r="F1" s="351"/>
      <c r="G1" s="351"/>
    </row>
    <row r="2" spans="1:7" s="313" customFormat="1" ht="14.1" customHeight="1" x14ac:dyDescent="0.2">
      <c r="A2" s="205"/>
    </row>
    <row r="3" spans="1:7" ht="14.1" customHeight="1" x14ac:dyDescent="0.2">
      <c r="A3" s="205">
        <f>Receivables!A3+0.1</f>
        <v>22.200000000000003</v>
      </c>
      <c r="B3" s="289" t="str">
        <f>"Note "&amp;A3&amp; " Allowances for credit losses - "&amp;CurrentFY</f>
        <v>Note 22.2 Allowances for credit losses - 2021/22</v>
      </c>
      <c r="C3" s="326"/>
      <c r="D3" s="326"/>
      <c r="E3" s="313"/>
      <c r="F3" s="326"/>
      <c r="G3" s="326"/>
    </row>
    <row r="4" spans="1:7" s="224" customFormat="1" ht="14.1" customHeight="1" x14ac:dyDescent="0.2">
      <c r="A4" s="205"/>
      <c r="B4" s="289"/>
      <c r="C4" s="460" t="s">
        <v>500</v>
      </c>
      <c r="D4" s="460"/>
      <c r="E4" s="313"/>
      <c r="F4" s="460" t="s">
        <v>94</v>
      </c>
      <c r="G4" s="460"/>
    </row>
    <row r="5" spans="1:7" ht="50.25" customHeight="1" x14ac:dyDescent="0.2">
      <c r="A5" s="205"/>
      <c r="B5" s="316"/>
      <c r="C5" s="290" t="s">
        <v>1033</v>
      </c>
      <c r="D5" s="290" t="s">
        <v>1034</v>
      </c>
      <c r="E5" s="313"/>
      <c r="F5" s="290" t="s">
        <v>1033</v>
      </c>
      <c r="G5" s="290" t="s">
        <v>1034</v>
      </c>
    </row>
    <row r="6" spans="1:7" ht="14.1" customHeight="1" x14ac:dyDescent="0.2">
      <c r="A6" s="205"/>
      <c r="B6" s="313"/>
      <c r="C6" s="290" t="s">
        <v>590</v>
      </c>
      <c r="D6" s="290" t="s">
        <v>590</v>
      </c>
      <c r="E6" s="313"/>
      <c r="F6" s="290" t="s">
        <v>590</v>
      </c>
      <c r="G6" s="290" t="s">
        <v>590</v>
      </c>
    </row>
    <row r="7" spans="1:7" ht="18.75" customHeight="1" x14ac:dyDescent="0.2">
      <c r="A7" s="205"/>
      <c r="B7" s="316" t="str">
        <f>"Allowances as at "&amp;TEXT(CurrentYearStart,"d mmm yyyy")&amp;" - brought forward"</f>
        <v>Allowances as at 1 Apr 2021 - brought forward</v>
      </c>
      <c r="C7" s="220">
        <v>3868.9602000000004</v>
      </c>
      <c r="D7" s="220">
        <v>0</v>
      </c>
      <c r="E7" s="313"/>
      <c r="F7" s="220">
        <f>+F36</f>
        <v>3866.9601999999995</v>
      </c>
      <c r="G7" s="220"/>
    </row>
    <row r="8" spans="1:7" ht="12" hidden="1" x14ac:dyDescent="0.2">
      <c r="A8" s="205"/>
      <c r="B8" s="328" t="s">
        <v>1035</v>
      </c>
      <c r="C8" s="220">
        <v>0</v>
      </c>
      <c r="D8" s="220">
        <v>0</v>
      </c>
      <c r="E8" s="313"/>
      <c r="F8" s="220"/>
      <c r="G8" s="220"/>
    </row>
    <row r="9" spans="1:7" ht="14.1" hidden="1" customHeight="1" x14ac:dyDescent="0.2">
      <c r="A9" s="205"/>
      <c r="B9" s="327" t="s">
        <v>962</v>
      </c>
      <c r="C9" s="304">
        <v>0</v>
      </c>
      <c r="D9" s="304">
        <v>0</v>
      </c>
      <c r="E9" s="313"/>
      <c r="F9" s="219"/>
      <c r="G9" s="219"/>
    </row>
    <row r="10" spans="1:7" s="244" customFormat="1" ht="14.1" customHeight="1" x14ac:dyDescent="0.2">
      <c r="A10" s="205"/>
      <c r="B10" s="327" t="s">
        <v>1036</v>
      </c>
      <c r="C10" s="304">
        <v>326</v>
      </c>
      <c r="D10" s="304">
        <v>0</v>
      </c>
      <c r="E10" s="313"/>
      <c r="F10" s="219">
        <f>+C10</f>
        <v>326</v>
      </c>
      <c r="G10" s="219"/>
    </row>
    <row r="11" spans="1:7" ht="14.1" hidden="1" customHeight="1" x14ac:dyDescent="0.2">
      <c r="A11" s="205"/>
      <c r="B11" s="327" t="s">
        <v>1037</v>
      </c>
      <c r="C11" s="304">
        <v>0</v>
      </c>
      <c r="D11" s="304">
        <v>0</v>
      </c>
      <c r="E11" s="313"/>
      <c r="F11" s="219"/>
      <c r="G11" s="219"/>
    </row>
    <row r="12" spans="1:7" ht="14.1" customHeight="1" x14ac:dyDescent="0.2">
      <c r="A12" s="205"/>
      <c r="B12" s="327" t="s">
        <v>1038</v>
      </c>
      <c r="C12" s="304">
        <v>-1701</v>
      </c>
      <c r="D12" s="304">
        <v>0</v>
      </c>
      <c r="E12" s="313"/>
      <c r="F12" s="219">
        <f>+C12</f>
        <v>-1701</v>
      </c>
      <c r="G12" s="219"/>
    </row>
    <row r="13" spans="1:7" s="244" customFormat="1" ht="14.1" customHeight="1" x14ac:dyDescent="0.2">
      <c r="A13" s="205"/>
      <c r="B13" s="327" t="s">
        <v>1039</v>
      </c>
      <c r="C13" s="304">
        <v>-171</v>
      </c>
      <c r="D13" s="304">
        <v>0</v>
      </c>
      <c r="E13" s="313"/>
      <c r="F13" s="219">
        <f>+C13</f>
        <v>-171</v>
      </c>
      <c r="G13" s="219"/>
    </row>
    <row r="14" spans="1:7" ht="24.6" hidden="1" customHeight="1" x14ac:dyDescent="0.2">
      <c r="A14" s="205"/>
      <c r="B14" s="327" t="s">
        <v>1040</v>
      </c>
      <c r="C14" s="304">
        <v>0</v>
      </c>
      <c r="D14" s="304">
        <v>0</v>
      </c>
      <c r="E14" s="313"/>
      <c r="F14" s="219"/>
      <c r="G14" s="219"/>
    </row>
    <row r="15" spans="1:7" s="244" customFormat="1" ht="14.1" customHeight="1" x14ac:dyDescent="0.2">
      <c r="A15" s="205"/>
      <c r="B15" s="327" t="s">
        <v>1041</v>
      </c>
      <c r="C15" s="304">
        <v>-25</v>
      </c>
      <c r="D15" s="304">
        <v>0</v>
      </c>
      <c r="E15" s="313"/>
      <c r="F15" s="219">
        <f>+C15</f>
        <v>-25</v>
      </c>
      <c r="G15" s="219"/>
    </row>
    <row r="16" spans="1:7" ht="14.1" customHeight="1" thickBot="1" x14ac:dyDescent="0.25">
      <c r="A16" s="205"/>
      <c r="B16" s="316" t="str">
        <f>"Allowances as at "&amp;TEXT(CurrentYearEnd,"d mmm yyyy")</f>
        <v>Allowances as at 31 Mar 2022</v>
      </c>
      <c r="C16" s="206">
        <f>SUM(C7:C15)</f>
        <v>2297.9602000000004</v>
      </c>
      <c r="D16" s="206">
        <f>SUM(D7:D15)</f>
        <v>0</v>
      </c>
      <c r="E16" s="313"/>
      <c r="F16" s="206">
        <f>SUM(F7:F15)</f>
        <v>2295.9601999999995</v>
      </c>
      <c r="G16" s="206">
        <f>SUM(G7:G15)</f>
        <v>0</v>
      </c>
    </row>
    <row r="17" spans="1:7" ht="14.1" customHeight="1" thickTop="1" x14ac:dyDescent="0.2">
      <c r="A17" s="205"/>
      <c r="B17" s="313"/>
      <c r="C17" s="313"/>
      <c r="D17" s="313"/>
      <c r="E17" s="313"/>
      <c r="F17" s="313"/>
      <c r="G17" s="313"/>
    </row>
    <row r="18" spans="1:7" s="250" customFormat="1" ht="25.5" customHeight="1" x14ac:dyDescent="0.2">
      <c r="A18" s="205"/>
      <c r="B18" s="444" t="s">
        <v>1350</v>
      </c>
      <c r="C18" s="444"/>
      <c r="D18" s="444"/>
      <c r="E18" s="444"/>
      <c r="F18" s="444"/>
      <c r="G18" s="444"/>
    </row>
    <row r="19" spans="1:7" s="250" customFormat="1" ht="22.7" customHeight="1" x14ac:dyDescent="0.2">
      <c r="A19" s="205"/>
      <c r="B19" s="472"/>
      <c r="C19" s="472"/>
      <c r="D19" s="472"/>
      <c r="E19" s="472"/>
      <c r="F19" s="472"/>
      <c r="G19" s="472"/>
    </row>
    <row r="20" spans="1:7" s="250" customFormat="1" ht="14.1" customHeight="1" x14ac:dyDescent="0.2">
      <c r="A20" s="205"/>
      <c r="B20" s="313"/>
      <c r="C20" s="313"/>
      <c r="D20" s="313"/>
      <c r="E20" s="313"/>
      <c r="F20" s="313"/>
      <c r="G20" s="313"/>
    </row>
    <row r="21" spans="1:7" ht="13.7" customHeight="1" x14ac:dyDescent="0.2">
      <c r="A21" s="205">
        <f>A3+0.1</f>
        <v>22.300000000000004</v>
      </c>
      <c r="B21" s="289" t="str">
        <f>"Note "&amp;A21&amp; " Allowances for credit losses - "&amp;ComparativeFY</f>
        <v>Note 22.3 Allowances for credit losses - 2020/21</v>
      </c>
      <c r="C21" s="313"/>
      <c r="D21" s="313"/>
      <c r="E21" s="313"/>
      <c r="F21" s="313"/>
      <c r="G21" s="313"/>
    </row>
    <row r="22" spans="1:7" s="244" customFormat="1" ht="14.1" customHeight="1" x14ac:dyDescent="0.2">
      <c r="A22" s="205"/>
      <c r="B22" s="289"/>
      <c r="C22" s="460" t="s">
        <v>500</v>
      </c>
      <c r="D22" s="460"/>
      <c r="E22" s="313"/>
      <c r="F22" s="460" t="s">
        <v>94</v>
      </c>
      <c r="G22" s="460"/>
    </row>
    <row r="23" spans="1:7" s="244" customFormat="1" ht="51" customHeight="1" x14ac:dyDescent="0.2">
      <c r="A23" s="205"/>
      <c r="B23" s="289"/>
      <c r="C23" s="290" t="s">
        <v>1033</v>
      </c>
      <c r="D23" s="290" t="s">
        <v>1034</v>
      </c>
      <c r="E23" s="313"/>
      <c r="F23" s="290" t="s">
        <v>1033</v>
      </c>
      <c r="G23" s="290" t="s">
        <v>1034</v>
      </c>
    </row>
    <row r="24" spans="1:7" s="244" customFormat="1" ht="14.1" customHeight="1" x14ac:dyDescent="0.2">
      <c r="A24" s="205"/>
      <c r="B24" s="313"/>
      <c r="C24" s="290" t="s">
        <v>590</v>
      </c>
      <c r="D24" s="290" t="s">
        <v>590</v>
      </c>
      <c r="E24" s="313"/>
      <c r="F24" s="290" t="s">
        <v>590</v>
      </c>
      <c r="G24" s="290" t="s">
        <v>590</v>
      </c>
    </row>
    <row r="25" spans="1:7" s="244" customFormat="1" ht="24" customHeight="1" x14ac:dyDescent="0.2">
      <c r="A25" s="205"/>
      <c r="B25" s="316" t="str">
        <f>"Allowances as at "&amp;TEXT(ComparativeYearStart,"d mmm yyyy")&amp;" - as previously stated"</f>
        <v>Allowances as at 1 Apr 2020 - as previously stated</v>
      </c>
      <c r="C25" s="220">
        <v>5279.9602000000004</v>
      </c>
      <c r="D25" s="220">
        <v>0</v>
      </c>
      <c r="E25" s="313"/>
      <c r="F25" s="220">
        <v>5279.9601999999995</v>
      </c>
      <c r="G25" s="220"/>
    </row>
    <row r="26" spans="1:7" s="244" customFormat="1" ht="14.1" hidden="1" customHeight="1" x14ac:dyDescent="0.2">
      <c r="A26" s="205"/>
      <c r="B26" s="327" t="s">
        <v>542</v>
      </c>
      <c r="C26" s="219">
        <v>0</v>
      </c>
      <c r="D26" s="219">
        <v>0</v>
      </c>
      <c r="E26" s="313"/>
      <c r="F26" s="219"/>
      <c r="G26" s="219"/>
    </row>
    <row r="27" spans="1:7" s="244" customFormat="1" ht="14.1" hidden="1" customHeight="1" x14ac:dyDescent="0.2">
      <c r="A27" s="205"/>
      <c r="B27" s="316" t="str">
        <f>"Allowances as at "&amp;TEXT(ComparativeYearStart,"d mmm yyyy")&amp;" - restated"</f>
        <v>Allowances as at 1 Apr 2020 - restated</v>
      </c>
      <c r="C27" s="207">
        <f>SUM(C25:C26)</f>
        <v>5279.9602000000004</v>
      </c>
      <c r="D27" s="207">
        <f>SUM(D25:D26)</f>
        <v>0</v>
      </c>
      <c r="E27" s="313"/>
      <c r="F27" s="207">
        <f>SUM(F25:F26)</f>
        <v>5279.9601999999995</v>
      </c>
      <c r="G27" s="207">
        <f>SUM(G25:G26)</f>
        <v>0</v>
      </c>
    </row>
    <row r="28" spans="1:7" s="244" customFormat="1" ht="14.1" hidden="1" customHeight="1" x14ac:dyDescent="0.2">
      <c r="A28" s="205"/>
      <c r="B28" s="316" t="s">
        <v>591</v>
      </c>
      <c r="C28" s="220">
        <v>0</v>
      </c>
      <c r="D28" s="220">
        <v>0</v>
      </c>
      <c r="E28" s="313"/>
      <c r="F28" s="220"/>
      <c r="G28" s="220"/>
    </row>
    <row r="29" spans="1:7" s="244" customFormat="1" ht="14.1" hidden="1" customHeight="1" x14ac:dyDescent="0.2">
      <c r="A29" s="205"/>
      <c r="B29" s="327" t="s">
        <v>962</v>
      </c>
      <c r="C29" s="219">
        <v>0</v>
      </c>
      <c r="D29" s="219">
        <v>0</v>
      </c>
      <c r="E29" s="313"/>
      <c r="F29" s="219"/>
      <c r="G29" s="219"/>
    </row>
    <row r="30" spans="1:7" s="268" customFormat="1" ht="14.1" customHeight="1" x14ac:dyDescent="0.2">
      <c r="A30" s="205"/>
      <c r="B30" s="327" t="s">
        <v>1036</v>
      </c>
      <c r="C30" s="219">
        <v>485</v>
      </c>
      <c r="D30" s="219">
        <v>0</v>
      </c>
      <c r="E30" s="313"/>
      <c r="F30" s="219">
        <v>485</v>
      </c>
      <c r="G30" s="219"/>
    </row>
    <row r="31" spans="1:7" s="268" customFormat="1" ht="14.1" hidden="1" customHeight="1" x14ac:dyDescent="0.2">
      <c r="A31" s="205"/>
      <c r="B31" s="327" t="s">
        <v>1037</v>
      </c>
      <c r="C31" s="219">
        <v>0</v>
      </c>
      <c r="D31" s="219">
        <v>0</v>
      </c>
      <c r="E31" s="313"/>
      <c r="F31" s="219"/>
      <c r="G31" s="219"/>
    </row>
    <row r="32" spans="1:7" s="268" customFormat="1" ht="14.1" customHeight="1" x14ac:dyDescent="0.2">
      <c r="A32" s="205"/>
      <c r="B32" s="327" t="s">
        <v>1038</v>
      </c>
      <c r="C32" s="219">
        <v>-1416</v>
      </c>
      <c r="D32" s="219">
        <v>0</v>
      </c>
      <c r="E32" s="313"/>
      <c r="F32" s="219">
        <v>-1418</v>
      </c>
      <c r="G32" s="219"/>
    </row>
    <row r="33" spans="1:7" s="244" customFormat="1" ht="14.1" customHeight="1" x14ac:dyDescent="0.2">
      <c r="A33" s="205"/>
      <c r="B33" s="327" t="s">
        <v>1039</v>
      </c>
      <c r="C33" s="219">
        <v>-425</v>
      </c>
      <c r="D33" s="219">
        <v>0</v>
      </c>
      <c r="E33" s="313"/>
      <c r="F33" s="219">
        <v>-425</v>
      </c>
      <c r="G33" s="219"/>
    </row>
    <row r="34" spans="1:7" s="279" customFormat="1" ht="24" hidden="1" customHeight="1" x14ac:dyDescent="0.2">
      <c r="A34" s="205"/>
      <c r="B34" s="327" t="s">
        <v>1040</v>
      </c>
      <c r="C34" s="219">
        <v>0</v>
      </c>
      <c r="D34" s="219">
        <v>0</v>
      </c>
      <c r="E34" s="313"/>
      <c r="F34" s="219">
        <v>0</v>
      </c>
      <c r="G34" s="219"/>
    </row>
    <row r="35" spans="1:7" s="244" customFormat="1" ht="14.1" customHeight="1" x14ac:dyDescent="0.2">
      <c r="A35" s="205"/>
      <c r="B35" s="327" t="s">
        <v>1041</v>
      </c>
      <c r="C35" s="219">
        <v>-55</v>
      </c>
      <c r="D35" s="219">
        <v>0</v>
      </c>
      <c r="E35" s="313"/>
      <c r="F35" s="219">
        <v>-55</v>
      </c>
      <c r="G35" s="219"/>
    </row>
    <row r="36" spans="1:7" s="244" customFormat="1" ht="14.1" customHeight="1" thickBot="1" x14ac:dyDescent="0.25">
      <c r="A36" s="205"/>
      <c r="B36" s="316" t="str">
        <f>"Allowances as at "&amp;TEXT(ComparativeYearEnd,"d mmm yyyy")</f>
        <v>Allowances as at 31 Mar 2021</v>
      </c>
      <c r="C36" s="206">
        <f>SUM(C27:C35)</f>
        <v>3868.9602000000004</v>
      </c>
      <c r="D36" s="206">
        <f>SUM(D27:D35)</f>
        <v>0</v>
      </c>
      <c r="E36" s="313"/>
      <c r="F36" s="206">
        <f>SUM(F27:F35)</f>
        <v>3866.9601999999995</v>
      </c>
      <c r="G36" s="206">
        <f>SUM(G27:G35)</f>
        <v>0</v>
      </c>
    </row>
    <row r="37" spans="1:7" s="244" customFormat="1" ht="14.1" customHeight="1" thickTop="1" x14ac:dyDescent="0.2">
      <c r="A37" s="205"/>
      <c r="B37" s="313"/>
      <c r="C37" s="204"/>
      <c r="D37" s="313"/>
      <c r="E37" s="313"/>
      <c r="F37" s="204"/>
      <c r="G37" s="313"/>
    </row>
  </sheetData>
  <customSheetViews>
    <customSheetView guid="{EDC1BD6E-863A-4FC6-A3A9-F32079F4F0C1}">
      <selection activeCell="N51" sqref="N51"/>
      <pageMargins left="0" right="0" top="0" bottom="0" header="0" footer="0"/>
      <pageSetup paperSize="9" orientation="portrait" verticalDpi="0" r:id="rId1"/>
    </customSheetView>
  </customSheetViews>
  <mergeCells count="6">
    <mergeCell ref="C22:D22"/>
    <mergeCell ref="F22:G22"/>
    <mergeCell ref="C4:D4"/>
    <mergeCell ref="F4:G4"/>
    <mergeCell ref="B19:G19"/>
    <mergeCell ref="B18:G18"/>
  </mergeCells>
  <pageMargins left="0.70866141732283472" right="0.70866141732283472" top="0.74803149606299213" bottom="0.74803149606299213" header="0.31496062992125984" footer="0.31496062992125984"/>
  <pageSetup paperSize="9" fitToHeight="0" orientation="portrait" verticalDpi="0" r:id="rId2"/>
  <headerFooter>
    <oddFooter>&amp;RPage &amp;P of &amp;N</oddFooter>
  </headerFooter>
  <ignoredErrors>
    <ignoredError sqref="C6:F6 C24:F24"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6">
    <pageSetUpPr fitToPage="1"/>
  </sheetPr>
  <dimension ref="A1:N64"/>
  <sheetViews>
    <sheetView showGridLines="0" topLeftCell="A37" zoomScaleNormal="100" workbookViewId="0">
      <selection activeCell="C19" sqref="C19:I19"/>
    </sheetView>
  </sheetViews>
  <sheetFormatPr defaultColWidth="9.140625" defaultRowHeight="14.1" customHeight="1" x14ac:dyDescent="0.2"/>
  <cols>
    <col min="1" max="1" width="2" style="38" customWidth="1"/>
    <col min="2" max="2" width="40" style="21" customWidth="1"/>
    <col min="3" max="3" width="10.7109375" style="21" customWidth="1"/>
    <col min="4" max="4" width="0.7109375" style="21" customWidth="1"/>
    <col min="5" max="5" width="10.7109375" style="21" customWidth="1"/>
    <col min="6" max="6" width="1" style="21" customWidth="1"/>
    <col min="7" max="7" width="10.7109375" style="169" customWidth="1"/>
    <col min="8" max="8" width="0.7109375" style="169" customWidth="1"/>
    <col min="9" max="9" width="10.7109375" style="169" customWidth="1"/>
    <col min="10" max="16384" width="9.140625" style="21"/>
  </cols>
  <sheetData>
    <row r="1" spans="1:14" s="313" customFormat="1" ht="14.1" customHeight="1" x14ac:dyDescent="0.2">
      <c r="A1" s="350" t="s">
        <v>1310</v>
      </c>
      <c r="B1" s="351"/>
      <c r="C1" s="351"/>
      <c r="D1" s="351"/>
      <c r="E1" s="351"/>
      <c r="F1" s="351"/>
      <c r="G1" s="351"/>
      <c r="H1" s="351"/>
      <c r="I1" s="351"/>
    </row>
    <row r="2" spans="1:14" s="313" customFormat="1" ht="14.1" customHeight="1" x14ac:dyDescent="0.2">
      <c r="A2" s="205"/>
    </row>
    <row r="3" spans="1:14" ht="14.1" hidden="1" customHeight="1" x14ac:dyDescent="0.2">
      <c r="A3" s="205" t="e">
        <f>#REF!+0.1</f>
        <v>#REF!</v>
      </c>
      <c r="B3" s="316" t="e">
        <f>"Note "&amp;A3&amp; " Liabilities in disposal groups"</f>
        <v>#REF!</v>
      </c>
      <c r="C3" s="326"/>
      <c r="D3" s="326"/>
      <c r="E3" s="326"/>
      <c r="F3" s="313"/>
      <c r="G3" s="326"/>
      <c r="H3" s="326"/>
      <c r="I3" s="326"/>
      <c r="J3" s="313"/>
      <c r="K3" s="313"/>
      <c r="L3" s="313"/>
      <c r="M3" s="313"/>
      <c r="N3" s="313"/>
    </row>
    <row r="4" spans="1:14" s="224" customFormat="1" ht="14.1" hidden="1" customHeight="1" x14ac:dyDescent="0.2">
      <c r="A4" s="205"/>
      <c r="B4" s="316"/>
      <c r="C4" s="460" t="s">
        <v>500</v>
      </c>
      <c r="D4" s="460"/>
      <c r="E4" s="460"/>
      <c r="F4" s="313"/>
      <c r="G4" s="460" t="s">
        <v>94</v>
      </c>
      <c r="H4" s="460"/>
      <c r="I4" s="460"/>
      <c r="J4" s="313"/>
      <c r="K4" s="313"/>
      <c r="L4" s="313"/>
      <c r="M4" s="313"/>
      <c r="N4" s="313"/>
    </row>
    <row r="5" spans="1:14" ht="28.35" hidden="1" customHeight="1" x14ac:dyDescent="0.2">
      <c r="A5" s="205"/>
      <c r="B5" s="316"/>
      <c r="C5" s="290" t="str">
        <f>TEXT(CurrentYearEnd, "d mmmm yyyy")</f>
        <v>31 March 2022</v>
      </c>
      <c r="D5" s="290"/>
      <c r="E5" s="290" t="str">
        <f>TEXT(ComparativeYearEnd, "d mmmm yyyy")</f>
        <v>31 March 2021</v>
      </c>
      <c r="F5" s="313"/>
      <c r="G5" s="290" t="str">
        <f>TEXT(CurrentYearEnd, "d mmmm yyyy")</f>
        <v>31 March 2022</v>
      </c>
      <c r="H5" s="290"/>
      <c r="I5" s="290" t="str">
        <f>TEXT(ComparativeYearEnd, "d mmmm yyyy")</f>
        <v>31 March 2021</v>
      </c>
      <c r="J5" s="313"/>
      <c r="K5" s="313"/>
      <c r="L5" s="313"/>
      <c r="M5" s="313"/>
      <c r="N5" s="313"/>
    </row>
    <row r="6" spans="1:14" ht="14.1" hidden="1" customHeight="1" x14ac:dyDescent="0.2">
      <c r="A6" s="205"/>
      <c r="B6" s="316"/>
      <c r="C6" s="290" t="s">
        <v>590</v>
      </c>
      <c r="D6" s="290"/>
      <c r="E6" s="290" t="s">
        <v>590</v>
      </c>
      <c r="F6" s="313"/>
      <c r="G6" s="290" t="s">
        <v>590</v>
      </c>
      <c r="H6" s="290"/>
      <c r="I6" s="290" t="s">
        <v>590</v>
      </c>
      <c r="J6" s="313"/>
      <c r="K6" s="313"/>
      <c r="L6" s="313"/>
      <c r="M6" s="313"/>
      <c r="N6" s="313"/>
    </row>
    <row r="7" spans="1:14" ht="14.1" hidden="1" customHeight="1" x14ac:dyDescent="0.2">
      <c r="A7" s="205"/>
      <c r="B7" s="316" t="s">
        <v>1042</v>
      </c>
      <c r="C7" s="199"/>
      <c r="D7" s="199"/>
      <c r="E7" s="199"/>
      <c r="F7" s="313"/>
      <c r="G7" s="199"/>
      <c r="H7" s="199"/>
      <c r="I7" s="199"/>
      <c r="J7" s="313"/>
      <c r="K7" s="313"/>
      <c r="L7" s="313"/>
      <c r="M7" s="313"/>
      <c r="N7" s="171"/>
    </row>
    <row r="8" spans="1:14" ht="14.1" hidden="1" customHeight="1" x14ac:dyDescent="0.2">
      <c r="A8" s="205"/>
      <c r="B8" s="327" t="s">
        <v>567</v>
      </c>
      <c r="C8" s="219">
        <v>0</v>
      </c>
      <c r="D8" s="219"/>
      <c r="E8" s="219">
        <v>0</v>
      </c>
      <c r="F8" s="313"/>
      <c r="G8" s="219"/>
      <c r="H8" s="219"/>
      <c r="I8" s="219"/>
      <c r="J8" s="313"/>
      <c r="K8" s="313"/>
      <c r="L8" s="313"/>
      <c r="M8" s="313"/>
      <c r="N8" s="171"/>
    </row>
    <row r="9" spans="1:14" ht="14.1" hidden="1" customHeight="1" x14ac:dyDescent="0.2">
      <c r="A9" s="205"/>
      <c r="B9" s="327" t="s">
        <v>564</v>
      </c>
      <c r="C9" s="219">
        <v>0</v>
      </c>
      <c r="D9" s="219"/>
      <c r="E9" s="219">
        <v>0</v>
      </c>
      <c r="F9" s="313"/>
      <c r="G9" s="219"/>
      <c r="H9" s="219"/>
      <c r="I9" s="219"/>
      <c r="J9" s="313"/>
      <c r="K9" s="313"/>
      <c r="L9" s="313"/>
      <c r="M9" s="313"/>
      <c r="N9" s="313"/>
    </row>
    <row r="10" spans="1:14" ht="14.1" hidden="1" customHeight="1" x14ac:dyDescent="0.2">
      <c r="A10" s="205"/>
      <c r="B10" s="327" t="s">
        <v>860</v>
      </c>
      <c r="C10" s="219">
        <v>0</v>
      </c>
      <c r="D10" s="219"/>
      <c r="E10" s="219">
        <v>0</v>
      </c>
      <c r="F10" s="313"/>
      <c r="G10" s="219"/>
      <c r="H10" s="219"/>
      <c r="I10" s="219"/>
      <c r="J10" s="313"/>
      <c r="K10" s="313"/>
      <c r="L10" s="313"/>
      <c r="M10" s="313"/>
      <c r="N10" s="313"/>
    </row>
    <row r="11" spans="1:14" ht="14.1" hidden="1" customHeight="1" thickBot="1" x14ac:dyDescent="0.25">
      <c r="A11" s="205"/>
      <c r="B11" s="289" t="s">
        <v>589</v>
      </c>
      <c r="C11" s="206">
        <f>SUM(C8:C10)</f>
        <v>0</v>
      </c>
      <c r="D11" s="219"/>
      <c r="E11" s="206">
        <f>SUM(E8:E10)</f>
        <v>0</v>
      </c>
      <c r="F11" s="313"/>
      <c r="G11" s="206">
        <f>SUM(G8:G10)</f>
        <v>0</v>
      </c>
      <c r="H11" s="219"/>
      <c r="I11" s="206">
        <f>SUM(I8:I10)</f>
        <v>0</v>
      </c>
      <c r="J11" s="313"/>
      <c r="K11" s="313"/>
      <c r="L11" s="313"/>
      <c r="M11" s="313"/>
      <c r="N11" s="313"/>
    </row>
    <row r="12" spans="1:14" ht="14.1" hidden="1" customHeight="1" thickTop="1" x14ac:dyDescent="0.2">
      <c r="A12" s="205"/>
      <c r="B12" s="313"/>
      <c r="C12" s="313"/>
      <c r="D12" s="313"/>
      <c r="E12" s="313"/>
      <c r="F12" s="313"/>
      <c r="G12" s="313"/>
      <c r="H12" s="313"/>
      <c r="I12" s="313"/>
      <c r="J12" s="313"/>
      <c r="K12" s="313"/>
      <c r="L12" s="313"/>
      <c r="M12" s="313"/>
      <c r="N12" s="313"/>
    </row>
    <row r="13" spans="1:14" ht="14.1" hidden="1" customHeight="1" x14ac:dyDescent="0.2"/>
    <row r="14" spans="1:14" ht="14.1" customHeight="1" x14ac:dyDescent="0.2">
      <c r="A14" s="205">
        <f>ROUNDDOWN('Receivables 2'!A21,0)+1.1</f>
        <v>23.1</v>
      </c>
      <c r="B14" s="289" t="str">
        <f>"Note "&amp; A14&amp; " Cash and cash equivalents movements"</f>
        <v>Note 23.1 Cash and cash equivalents movements</v>
      </c>
      <c r="C14" s="313"/>
      <c r="D14" s="313"/>
      <c r="E14" s="313"/>
      <c r="F14" s="313"/>
      <c r="G14" s="313"/>
      <c r="H14" s="313"/>
      <c r="I14" s="313"/>
      <c r="J14" s="313"/>
      <c r="K14" s="313"/>
      <c r="L14" s="313"/>
      <c r="M14" s="313"/>
      <c r="N14" s="313"/>
    </row>
    <row r="15" spans="1:14" ht="9" customHeight="1" x14ac:dyDescent="0.2">
      <c r="A15" s="205"/>
      <c r="B15" s="19"/>
      <c r="C15" s="313"/>
      <c r="D15" s="313"/>
      <c r="E15" s="313"/>
      <c r="F15" s="313"/>
      <c r="G15" s="313"/>
      <c r="H15" s="313"/>
      <c r="I15" s="313"/>
      <c r="J15" s="313"/>
      <c r="K15" s="313"/>
      <c r="L15" s="313"/>
      <c r="M15" s="313"/>
      <c r="N15" s="313"/>
    </row>
    <row r="16" spans="1:14" ht="25.5" customHeight="1" x14ac:dyDescent="0.2">
      <c r="A16" s="205"/>
      <c r="B16" s="470" t="s">
        <v>1043</v>
      </c>
      <c r="C16" s="470"/>
      <c r="D16" s="470"/>
      <c r="E16" s="470"/>
      <c r="F16" s="470"/>
      <c r="G16" s="470"/>
      <c r="H16" s="470"/>
      <c r="I16" s="470"/>
      <c r="J16" s="313"/>
      <c r="K16" s="313"/>
      <c r="L16" s="313"/>
      <c r="M16" s="313"/>
      <c r="N16" s="313"/>
    </row>
    <row r="17" spans="1:14" ht="14.1" customHeight="1" x14ac:dyDescent="0.2">
      <c r="A17" s="205"/>
      <c r="B17" s="316"/>
      <c r="C17" s="460" t="s">
        <v>500</v>
      </c>
      <c r="D17" s="460"/>
      <c r="E17" s="460"/>
      <c r="F17" s="313"/>
      <c r="G17" s="460" t="s">
        <v>94</v>
      </c>
      <c r="H17" s="460"/>
      <c r="I17" s="460"/>
      <c r="J17" s="313"/>
      <c r="K17" s="313"/>
      <c r="L17" s="313"/>
      <c r="M17" s="313"/>
      <c r="N17" s="313"/>
    </row>
    <row r="18" spans="1:14" ht="14.1" customHeight="1" x14ac:dyDescent="0.2">
      <c r="A18" s="205"/>
      <c r="B18" s="316"/>
      <c r="C18" s="290" t="str">
        <f>CurrentFY</f>
        <v>2021/22</v>
      </c>
      <c r="D18" s="290"/>
      <c r="E18" s="290" t="str">
        <f>ComparativeFY</f>
        <v>2020/21</v>
      </c>
      <c r="F18" s="313"/>
      <c r="G18" s="290" t="str">
        <f>CurrentFY</f>
        <v>2021/22</v>
      </c>
      <c r="H18" s="290"/>
      <c r="I18" s="290" t="str">
        <f>ComparativeFY</f>
        <v>2020/21</v>
      </c>
      <c r="J18" s="313"/>
      <c r="K18" s="313"/>
      <c r="L18" s="313"/>
      <c r="M18" s="313"/>
      <c r="N18" s="313"/>
    </row>
    <row r="19" spans="1:14" ht="14.1" customHeight="1" x14ac:dyDescent="0.2">
      <c r="B19" s="316"/>
      <c r="C19" s="290" t="s">
        <v>590</v>
      </c>
      <c r="D19" s="290"/>
      <c r="E19" s="290" t="s">
        <v>590</v>
      </c>
      <c r="F19" s="313"/>
      <c r="G19" s="290" t="s">
        <v>590</v>
      </c>
      <c r="H19" s="290"/>
      <c r="I19" s="290" t="s">
        <v>590</v>
      </c>
      <c r="J19" s="313"/>
      <c r="K19" s="313"/>
    </row>
    <row r="20" spans="1:14" ht="14.1" customHeight="1" x14ac:dyDescent="0.2">
      <c r="B20" s="316" t="s">
        <v>1044</v>
      </c>
      <c r="C20" s="220">
        <f>E26</f>
        <v>68385</v>
      </c>
      <c r="D20" s="220"/>
      <c r="E20" s="220">
        <v>52443.59</v>
      </c>
      <c r="F20" s="313"/>
      <c r="G20" s="220">
        <f>I26</f>
        <v>67074</v>
      </c>
      <c r="H20" s="220"/>
      <c r="I20" s="220">
        <v>52443.590000000004</v>
      </c>
      <c r="J20" s="313"/>
      <c r="K20" s="313"/>
    </row>
    <row r="21" spans="1:14" ht="14.1" hidden="1" customHeight="1" x14ac:dyDescent="0.2">
      <c r="B21" s="327" t="s">
        <v>542</v>
      </c>
      <c r="C21" s="219"/>
      <c r="D21" s="219"/>
      <c r="E21" s="219">
        <v>0</v>
      </c>
      <c r="F21" s="313"/>
      <c r="G21" s="219"/>
      <c r="H21" s="219"/>
      <c r="I21" s="219"/>
      <c r="J21" s="313"/>
      <c r="K21" s="313"/>
    </row>
    <row r="22" spans="1:14" ht="14.1" hidden="1" customHeight="1" x14ac:dyDescent="0.2">
      <c r="B22" s="316" t="s">
        <v>1045</v>
      </c>
      <c r="C22" s="207">
        <f>SUM(C20:C21)</f>
        <v>68385</v>
      </c>
      <c r="D22" s="219"/>
      <c r="E22" s="207">
        <f>SUM(E20:E21)</f>
        <v>52443.59</v>
      </c>
      <c r="F22" s="313"/>
      <c r="G22" s="207">
        <f>SUM(G20:G21)</f>
        <v>67074</v>
      </c>
      <c r="H22" s="219"/>
      <c r="I22" s="207">
        <f>SUM(I20:I21)</f>
        <v>52443.590000000004</v>
      </c>
      <c r="J22" s="313"/>
      <c r="K22" s="313"/>
    </row>
    <row r="23" spans="1:14" ht="14.1" hidden="1" customHeight="1" x14ac:dyDescent="0.2">
      <c r="B23" s="316" t="s">
        <v>977</v>
      </c>
      <c r="C23" s="220">
        <v>0</v>
      </c>
      <c r="D23" s="219"/>
      <c r="E23" s="220">
        <v>0</v>
      </c>
      <c r="F23" s="313"/>
      <c r="G23" s="220"/>
      <c r="H23" s="219"/>
      <c r="I23" s="220"/>
      <c r="J23" s="313"/>
      <c r="K23" s="270" t="s">
        <v>1046</v>
      </c>
    </row>
    <row r="24" spans="1:14" ht="14.1" hidden="1" customHeight="1" x14ac:dyDescent="0.2">
      <c r="B24" s="327" t="s">
        <v>962</v>
      </c>
      <c r="C24" s="219">
        <v>0</v>
      </c>
      <c r="D24" s="219"/>
      <c r="E24" s="219">
        <v>0</v>
      </c>
      <c r="F24" s="313"/>
      <c r="G24" s="219"/>
      <c r="H24" s="219"/>
      <c r="I24" s="219"/>
      <c r="J24" s="313"/>
      <c r="K24" s="313"/>
    </row>
    <row r="25" spans="1:14" ht="14.1" customHeight="1" x14ac:dyDescent="0.2">
      <c r="B25" s="327" t="s">
        <v>1047</v>
      </c>
      <c r="C25" s="219">
        <v>876</v>
      </c>
      <c r="D25" s="219"/>
      <c r="E25" s="219">
        <v>15941.410000000003</v>
      </c>
      <c r="F25" s="313"/>
      <c r="G25" s="219">
        <f>+CF!H54+CF!H60</f>
        <v>1873.2861870595661</v>
      </c>
      <c r="H25" s="219"/>
      <c r="I25" s="219">
        <v>14630.409999999996</v>
      </c>
      <c r="J25" s="313"/>
      <c r="K25" s="313"/>
    </row>
    <row r="26" spans="1:14" ht="14.1" customHeight="1" thickBot="1" x14ac:dyDescent="0.25">
      <c r="B26" s="289" t="s">
        <v>1048</v>
      </c>
      <c r="C26" s="206">
        <f>SUM(C22:C25)</f>
        <v>69261</v>
      </c>
      <c r="D26" s="219"/>
      <c r="E26" s="206">
        <f>SUM(E22:E25)</f>
        <v>68385</v>
      </c>
      <c r="F26" s="313"/>
      <c r="G26" s="206">
        <f>SUM(G22:G25)</f>
        <v>68947.286187059566</v>
      </c>
      <c r="H26" s="219"/>
      <c r="I26" s="206">
        <f>SUM(I22:I25)</f>
        <v>67074</v>
      </c>
      <c r="J26" s="313"/>
      <c r="K26" s="313"/>
    </row>
    <row r="27" spans="1:14" ht="14.1" customHeight="1" thickTop="1" x14ac:dyDescent="0.2">
      <c r="B27" s="316" t="s">
        <v>1049</v>
      </c>
      <c r="C27" s="219"/>
      <c r="D27" s="219"/>
      <c r="E27" s="219"/>
      <c r="F27" s="313"/>
      <c r="G27" s="219"/>
      <c r="H27" s="219"/>
      <c r="I27" s="219"/>
      <c r="J27" s="313"/>
      <c r="K27" s="313"/>
    </row>
    <row r="28" spans="1:14" ht="14.1" customHeight="1" x14ac:dyDescent="0.2">
      <c r="B28" s="327" t="s">
        <v>1050</v>
      </c>
      <c r="C28" s="219">
        <v>3474</v>
      </c>
      <c r="D28" s="219"/>
      <c r="E28" s="219">
        <v>5129</v>
      </c>
      <c r="F28" s="313"/>
      <c r="G28" s="219">
        <f>+G26-G29</f>
        <v>3160.2861870595661</v>
      </c>
      <c r="H28" s="219"/>
      <c r="I28" s="219">
        <v>3818</v>
      </c>
      <c r="J28" s="313"/>
      <c r="K28" s="313"/>
    </row>
    <row r="29" spans="1:14" ht="14.1" customHeight="1" x14ac:dyDescent="0.2">
      <c r="B29" s="327" t="s">
        <v>1051</v>
      </c>
      <c r="C29" s="219">
        <v>65787</v>
      </c>
      <c r="D29" s="219"/>
      <c r="E29" s="219">
        <v>63256</v>
      </c>
      <c r="F29" s="313"/>
      <c r="G29" s="219">
        <f>+C29</f>
        <v>65787</v>
      </c>
      <c r="H29" s="219"/>
      <c r="I29" s="219">
        <v>63256</v>
      </c>
      <c r="J29" s="313"/>
      <c r="K29" s="313"/>
    </row>
    <row r="30" spans="1:14" ht="14.1" hidden="1" customHeight="1" x14ac:dyDescent="0.2">
      <c r="B30" s="327" t="s">
        <v>1052</v>
      </c>
      <c r="C30" s="219">
        <v>0</v>
      </c>
      <c r="D30" s="219"/>
      <c r="E30" s="219">
        <v>0</v>
      </c>
      <c r="F30" s="313"/>
      <c r="G30" s="219"/>
      <c r="H30" s="219"/>
      <c r="I30" s="219"/>
      <c r="J30" s="313"/>
      <c r="K30" s="313"/>
    </row>
    <row r="31" spans="1:14" ht="14.1" hidden="1" customHeight="1" x14ac:dyDescent="0.2">
      <c r="B31" s="327" t="s">
        <v>1053</v>
      </c>
      <c r="C31" s="219">
        <v>0</v>
      </c>
      <c r="D31" s="219"/>
      <c r="E31" s="219">
        <v>0</v>
      </c>
      <c r="F31" s="313"/>
      <c r="G31" s="219"/>
      <c r="H31" s="219"/>
      <c r="I31" s="219"/>
      <c r="J31" s="313"/>
      <c r="K31" s="313"/>
    </row>
    <row r="32" spans="1:14" ht="14.1" customHeight="1" x14ac:dyDescent="0.2">
      <c r="B32" s="316" t="s">
        <v>1054</v>
      </c>
      <c r="C32" s="207">
        <f>SUM(C28:C31)</f>
        <v>69261</v>
      </c>
      <c r="D32" s="219"/>
      <c r="E32" s="207">
        <f>SUM(E28:E31)</f>
        <v>68385</v>
      </c>
      <c r="F32" s="316"/>
      <c r="G32" s="207">
        <f>SUM(G28:G31)</f>
        <v>68947.286187059566</v>
      </c>
      <c r="H32" s="219"/>
      <c r="I32" s="207">
        <f>SUM(I28:I31)</f>
        <v>67074</v>
      </c>
      <c r="J32" s="313"/>
      <c r="K32" s="313"/>
    </row>
    <row r="33" spans="1:11" ht="14.1" hidden="1" customHeight="1" x14ac:dyDescent="0.2">
      <c r="B33" s="327" t="s">
        <v>1055</v>
      </c>
      <c r="C33" s="219">
        <v>0</v>
      </c>
      <c r="D33" s="219"/>
      <c r="E33" s="219">
        <v>0</v>
      </c>
      <c r="F33" s="313"/>
      <c r="G33" s="219">
        <f>-'OL &amp; Borrowings'!G33</f>
        <v>0</v>
      </c>
      <c r="H33" s="219"/>
      <c r="I33" s="219">
        <f>-'OL &amp; Borrowings'!I33</f>
        <v>0</v>
      </c>
      <c r="J33" s="313"/>
      <c r="K33" s="313"/>
    </row>
    <row r="34" spans="1:11" ht="14.1" hidden="1" customHeight="1" x14ac:dyDescent="0.2">
      <c r="B34" s="327" t="s">
        <v>1056</v>
      </c>
      <c r="C34" s="219">
        <v>0</v>
      </c>
      <c r="D34" s="219"/>
      <c r="E34" s="219">
        <v>0</v>
      </c>
      <c r="F34" s="313"/>
      <c r="G34" s="219">
        <f>-'OL &amp; Borrowings'!G34</f>
        <v>0</v>
      </c>
      <c r="H34" s="219"/>
      <c r="I34" s="219">
        <f>-'OL &amp; Borrowings'!I34</f>
        <v>0</v>
      </c>
      <c r="J34" s="313"/>
      <c r="K34" s="313"/>
    </row>
    <row r="35" spans="1:11" ht="14.1" customHeight="1" thickBot="1" x14ac:dyDescent="0.25">
      <c r="A35" s="205"/>
      <c r="B35" s="289" t="s">
        <v>1057</v>
      </c>
      <c r="C35" s="206">
        <f>SUM(C32:C34)</f>
        <v>69261</v>
      </c>
      <c r="D35" s="219"/>
      <c r="E35" s="206">
        <f>SUM(E32:E34)</f>
        <v>68385</v>
      </c>
      <c r="F35" s="316"/>
      <c r="G35" s="206">
        <f>SUM(G32:G34)</f>
        <v>68947.286187059566</v>
      </c>
      <c r="H35" s="219"/>
      <c r="I35" s="206">
        <f>SUM(I32:I34)</f>
        <v>67074</v>
      </c>
    </row>
    <row r="36" spans="1:11" ht="14.1" customHeight="1" thickTop="1" x14ac:dyDescent="0.2">
      <c r="A36" s="205"/>
      <c r="B36" s="313"/>
      <c r="C36" s="313"/>
      <c r="D36" s="219"/>
      <c r="E36" s="313"/>
      <c r="F36" s="313"/>
      <c r="G36" s="313"/>
      <c r="H36" s="219"/>
      <c r="I36" s="313"/>
    </row>
    <row r="37" spans="1:11" ht="14.1" customHeight="1" x14ac:dyDescent="0.2">
      <c r="A37" s="205"/>
      <c r="B37" s="313"/>
      <c r="C37" s="313"/>
      <c r="D37" s="219"/>
      <c r="E37" s="313"/>
      <c r="F37" s="313"/>
      <c r="G37" s="313"/>
      <c r="H37" s="219"/>
      <c r="I37" s="313"/>
    </row>
    <row r="38" spans="1:11" ht="14.1" customHeight="1" x14ac:dyDescent="0.2">
      <c r="A38" s="205">
        <f>A14+0.1</f>
        <v>23.200000000000003</v>
      </c>
      <c r="B38" s="289" t="str">
        <f>"Note "&amp;A38&amp; " Third party assets held by the trust"</f>
        <v>Note 23.2 Third party assets held by the trust</v>
      </c>
      <c r="C38" s="313"/>
      <c r="D38" s="313"/>
      <c r="E38" s="313"/>
      <c r="F38" s="313"/>
      <c r="G38" s="313"/>
      <c r="H38" s="313"/>
      <c r="I38" s="313"/>
    </row>
    <row r="39" spans="1:11" ht="14.1" customHeight="1" x14ac:dyDescent="0.2">
      <c r="A39" s="205"/>
      <c r="B39" s="445" t="str">
        <f xml:space="preserve"> SelectedFT &amp; " held cash and cash equivalents which relate to monies held by the Trust on behalf of patients or other parties. This has been excluded from the cash and cash equivalents figure reported in the accounts."</f>
        <v>Moorfields Eye Hospital NHS Foundation Trust held cash and cash equivalents which relate to monies held by the Trust on behalf of patients or other parties. This has been excluded from the cash and cash equivalents figure reported in the accounts.</v>
      </c>
      <c r="C39" s="445"/>
      <c r="D39" s="445"/>
      <c r="E39" s="445"/>
      <c r="F39" s="445"/>
      <c r="G39" s="445"/>
      <c r="H39" s="445"/>
      <c r="I39" s="445"/>
    </row>
    <row r="40" spans="1:11" ht="14.1" customHeight="1" x14ac:dyDescent="0.2">
      <c r="A40" s="205"/>
      <c r="B40" s="445"/>
      <c r="C40" s="445"/>
      <c r="D40" s="445"/>
      <c r="E40" s="445"/>
      <c r="F40" s="445"/>
      <c r="G40" s="445"/>
      <c r="H40" s="445"/>
      <c r="I40" s="445"/>
    </row>
    <row r="41" spans="1:11" ht="14.1" customHeight="1" x14ac:dyDescent="0.2">
      <c r="A41" s="205"/>
      <c r="B41" s="445"/>
      <c r="C41" s="445"/>
      <c r="D41" s="445"/>
      <c r="E41" s="445"/>
      <c r="F41" s="445"/>
      <c r="G41" s="445"/>
      <c r="H41" s="445"/>
      <c r="I41" s="445"/>
    </row>
    <row r="42" spans="1:11" s="224" customFormat="1" ht="14.1" customHeight="1" x14ac:dyDescent="0.2">
      <c r="A42" s="205"/>
      <c r="B42" s="313"/>
      <c r="C42" s="313"/>
      <c r="D42" s="313"/>
      <c r="E42" s="313"/>
      <c r="F42" s="313"/>
      <c r="G42" s="313"/>
      <c r="H42" s="313"/>
      <c r="I42" s="313"/>
    </row>
    <row r="43" spans="1:11" ht="14.1" customHeight="1" x14ac:dyDescent="0.2">
      <c r="A43" s="205"/>
      <c r="B43" s="36"/>
      <c r="C43" s="313"/>
      <c r="D43" s="313"/>
      <c r="E43" s="313"/>
      <c r="F43" s="313"/>
      <c r="G43" s="460" t="s">
        <v>1058</v>
      </c>
      <c r="H43" s="460"/>
      <c r="I43" s="460"/>
    </row>
    <row r="44" spans="1:11" ht="28.35" customHeight="1" x14ac:dyDescent="0.2">
      <c r="A44" s="205"/>
      <c r="B44" s="313"/>
      <c r="C44" s="313"/>
      <c r="D44" s="313"/>
      <c r="E44" s="313"/>
      <c r="F44" s="313"/>
      <c r="G44" s="290" t="str">
        <f>TEXT(CurrentYearEnd, "d mmmm yyyy")</f>
        <v>31 March 2022</v>
      </c>
      <c r="H44" s="290"/>
      <c r="I44" s="290" t="str">
        <f>TEXT(ComparativeYearEnd, "d mmmm yyyy")</f>
        <v>31 March 2021</v>
      </c>
    </row>
    <row r="45" spans="1:11" ht="14.1" customHeight="1" x14ac:dyDescent="0.2">
      <c r="A45" s="205"/>
      <c r="B45" s="313"/>
      <c r="C45" s="313"/>
      <c r="D45" s="313"/>
      <c r="E45" s="313"/>
      <c r="F45" s="313"/>
      <c r="G45" s="290" t="s">
        <v>590</v>
      </c>
      <c r="H45" s="290"/>
      <c r="I45" s="290" t="s">
        <v>590</v>
      </c>
    </row>
    <row r="46" spans="1:11" ht="14.1" customHeight="1" x14ac:dyDescent="0.2">
      <c r="A46" s="205"/>
      <c r="B46" s="327" t="s">
        <v>1059</v>
      </c>
      <c r="C46" s="313"/>
      <c r="D46" s="313"/>
      <c r="E46" s="313"/>
      <c r="F46" s="313"/>
      <c r="G46" s="219">
        <v>56</v>
      </c>
      <c r="H46" s="219"/>
      <c r="I46" s="219">
        <v>48</v>
      </c>
    </row>
    <row r="47" spans="1:11" ht="14.1" hidden="1" customHeight="1" x14ac:dyDescent="0.2">
      <c r="A47" s="205"/>
      <c r="B47" s="327" t="s">
        <v>1060</v>
      </c>
      <c r="C47" s="313"/>
      <c r="D47" s="313"/>
      <c r="E47" s="313"/>
      <c r="F47" s="313"/>
      <c r="G47" s="219">
        <v>0</v>
      </c>
      <c r="H47" s="219"/>
      <c r="I47" s="219">
        <v>0</v>
      </c>
    </row>
    <row r="48" spans="1:11" ht="14.1" customHeight="1" thickBot="1" x14ac:dyDescent="0.25">
      <c r="A48" s="205"/>
      <c r="B48" s="289" t="s">
        <v>1061</v>
      </c>
      <c r="C48" s="313"/>
      <c r="D48" s="313"/>
      <c r="E48" s="313"/>
      <c r="F48" s="313"/>
      <c r="G48" s="206">
        <f>SUM(G46:G47)</f>
        <v>56</v>
      </c>
      <c r="H48" s="219"/>
      <c r="I48" s="206">
        <f>SUM(I46:I47)</f>
        <v>48</v>
      </c>
    </row>
    <row r="49" spans="1:9" ht="14.1" customHeight="1" thickTop="1" x14ac:dyDescent="0.2">
      <c r="A49" s="205"/>
      <c r="B49" s="313"/>
      <c r="C49" s="313"/>
      <c r="D49" s="313"/>
      <c r="E49" s="313"/>
      <c r="F49" s="313"/>
      <c r="G49" s="313"/>
      <c r="H49" s="313"/>
      <c r="I49" s="313"/>
    </row>
    <row r="50" spans="1:9" ht="14.1" customHeight="1" x14ac:dyDescent="0.2">
      <c r="A50" s="313"/>
      <c r="B50" s="313"/>
      <c r="C50" s="313"/>
      <c r="D50" s="313"/>
      <c r="E50" s="313"/>
      <c r="F50" s="313"/>
      <c r="G50" s="313"/>
      <c r="H50" s="313"/>
      <c r="I50" s="313"/>
    </row>
    <row r="51" spans="1:9" ht="14.1" customHeight="1" x14ac:dyDescent="0.2">
      <c r="A51" s="313"/>
      <c r="B51" s="313"/>
      <c r="C51" s="313"/>
      <c r="D51" s="313"/>
      <c r="E51" s="313"/>
      <c r="F51" s="313"/>
      <c r="G51" s="313"/>
      <c r="H51" s="313"/>
      <c r="I51" s="313"/>
    </row>
    <row r="52" spans="1:9" ht="14.1" customHeight="1" x14ac:dyDescent="0.2">
      <c r="A52" s="313"/>
      <c r="B52" s="313"/>
      <c r="C52" s="313"/>
      <c r="D52" s="313"/>
      <c r="E52" s="313"/>
      <c r="F52" s="313"/>
      <c r="G52" s="313"/>
      <c r="H52" s="313"/>
      <c r="I52" s="313"/>
    </row>
    <row r="53" spans="1:9" ht="14.1" customHeight="1" x14ac:dyDescent="0.2">
      <c r="A53" s="313"/>
      <c r="B53" s="313"/>
      <c r="C53" s="313"/>
      <c r="D53" s="313"/>
      <c r="E53" s="313"/>
      <c r="F53" s="313"/>
      <c r="G53" s="313"/>
      <c r="H53" s="313"/>
      <c r="I53" s="313"/>
    </row>
    <row r="54" spans="1:9" ht="14.1" customHeight="1" x14ac:dyDescent="0.2">
      <c r="A54" s="313"/>
      <c r="B54" s="313"/>
      <c r="C54" s="313"/>
      <c r="D54" s="313"/>
      <c r="E54" s="313"/>
      <c r="F54" s="313"/>
      <c r="G54" s="313"/>
      <c r="H54" s="313"/>
      <c r="I54" s="313"/>
    </row>
    <row r="56" spans="1:9" ht="14.1" customHeight="1" x14ac:dyDescent="0.2">
      <c r="A56" s="313"/>
      <c r="B56" s="313"/>
      <c r="C56" s="313"/>
      <c r="D56" s="313"/>
      <c r="E56" s="313"/>
      <c r="F56" s="313"/>
      <c r="G56" s="313"/>
      <c r="H56" s="313"/>
      <c r="I56" s="313"/>
    </row>
    <row r="62" spans="1:9" ht="14.1" customHeight="1" x14ac:dyDescent="0.2">
      <c r="A62" s="313"/>
      <c r="B62" s="313"/>
      <c r="C62" s="313"/>
      <c r="D62" s="313"/>
      <c r="E62" s="313"/>
      <c r="F62" s="313"/>
      <c r="G62" s="313"/>
      <c r="H62" s="313"/>
      <c r="I62" s="313"/>
    </row>
    <row r="63" spans="1:9" ht="14.1" customHeight="1" x14ac:dyDescent="0.2">
      <c r="A63" s="313"/>
      <c r="B63" s="313"/>
      <c r="C63" s="313"/>
      <c r="D63" s="313"/>
      <c r="E63" s="313"/>
      <c r="F63" s="313"/>
      <c r="G63" s="313"/>
      <c r="H63" s="313"/>
      <c r="I63" s="313"/>
    </row>
    <row r="64" spans="1:9" ht="14.1" customHeight="1" x14ac:dyDescent="0.2">
      <c r="A64" s="313"/>
      <c r="B64" s="313"/>
      <c r="C64" s="313"/>
      <c r="D64" s="313"/>
      <c r="E64" s="313"/>
      <c r="F64" s="313"/>
      <c r="G64" s="313"/>
      <c r="H64" s="313"/>
      <c r="I64" s="313"/>
    </row>
  </sheetData>
  <customSheetViews>
    <customSheetView guid="{EDC1BD6E-863A-4FC6-A3A9-F32079F4F0C1}" topLeftCell="A16">
      <selection activeCell="O48" sqref="O48"/>
      <pageMargins left="0" right="0" top="0" bottom="0" header="0" footer="0"/>
      <pageSetup paperSize="9" orientation="portrait" verticalDpi="0" r:id="rId1"/>
    </customSheetView>
  </customSheetViews>
  <mergeCells count="7">
    <mergeCell ref="G43:I43"/>
    <mergeCell ref="C17:E17"/>
    <mergeCell ref="G17:I17"/>
    <mergeCell ref="C4:E4"/>
    <mergeCell ref="G4:I4"/>
    <mergeCell ref="B39:I41"/>
    <mergeCell ref="B16:I16"/>
  </mergeCells>
  <pageMargins left="0.70866141732283472" right="0.70866141732283472" top="0.74803149606299213" bottom="0.74803149606299213" header="0.31496062992125984" footer="0.31496062992125984"/>
  <pageSetup paperSize="9" scale="99" fitToHeight="0" orientation="portrait" verticalDpi="0" r:id="rId2"/>
  <headerFooter>
    <oddFooter>&amp;RPage &amp;P of &amp;N</oddFooter>
  </headerFooter>
  <ignoredErrors>
    <ignoredError sqref="C19:I1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C22"/>
  <sheetViews>
    <sheetView showGridLines="0" workbookViewId="0">
      <selection activeCell="F23" sqref="F23"/>
    </sheetView>
  </sheetViews>
  <sheetFormatPr defaultColWidth="9.140625" defaultRowHeight="12.75" x14ac:dyDescent="0.2"/>
  <cols>
    <col min="1" max="1" width="4.7109375" style="5" customWidth="1"/>
    <col min="2" max="2" width="10.85546875" style="5" customWidth="1"/>
    <col min="3" max="3" width="67.28515625" style="5" customWidth="1"/>
    <col min="4" max="16384" width="9.140625" style="5"/>
  </cols>
  <sheetData>
    <row r="1" spans="1:3" x14ac:dyDescent="0.2">
      <c r="A1" s="350" t="s">
        <v>1310</v>
      </c>
      <c r="B1" s="351"/>
      <c r="C1" s="351"/>
    </row>
    <row r="4" spans="1:3" x14ac:dyDescent="0.2">
      <c r="B4" s="236"/>
    </row>
    <row r="6" spans="1:3" ht="15" customHeight="1" x14ac:dyDescent="0.2">
      <c r="B6" s="440" t="s">
        <v>493</v>
      </c>
      <c r="C6" s="440"/>
    </row>
    <row r="9" spans="1:3" ht="15" customHeight="1" x14ac:dyDescent="0.2">
      <c r="B9" s="440" t="str">
        <f>SelectedFT</f>
        <v>Moorfields Eye Hospital NHS Foundation Trust</v>
      </c>
      <c r="C9" s="440"/>
    </row>
    <row r="13" spans="1:3" ht="40.700000000000003" customHeight="1" x14ac:dyDescent="0.2">
      <c r="B13" s="441" t="str">
        <f xml:space="preserve"> "These accounts, for the year ended " &amp; TEXT(CurrentYearEnd, "d mmmm yyyy") &amp; ", have been prepared by " &amp; SelectedFT &amp;" in accordance with paragraphs 24 &amp; 25 of Schedule 7 within the National Health Service Act 2006."</f>
        <v>These accounts, for the year ended 31 March 2022, have been prepared by Moorfields Eye Hospital NHS Foundation Trust in accordance with paragraphs 24 &amp; 25 of Schedule 7 within the National Health Service Act 2006.</v>
      </c>
      <c r="C13" s="441"/>
    </row>
    <row r="18" spans="2:3" ht="15" customHeight="1" x14ac:dyDescent="0.2">
      <c r="B18" s="15" t="s">
        <v>494</v>
      </c>
      <c r="C18" s="5" t="s">
        <v>495</v>
      </c>
    </row>
    <row r="20" spans="2:3" x14ac:dyDescent="0.2">
      <c r="B20" s="15" t="s">
        <v>496</v>
      </c>
      <c r="C20" s="15"/>
    </row>
    <row r="21" spans="2:3" x14ac:dyDescent="0.2">
      <c r="B21" s="15" t="s">
        <v>497</v>
      </c>
      <c r="C21" s="15"/>
    </row>
    <row r="22" spans="2:3" x14ac:dyDescent="0.2">
      <c r="B22" s="15" t="s">
        <v>498</v>
      </c>
      <c r="C22" s="15" t="str">
        <f>TEXT(ApprovalDate, "d mmmm yyyy")</f>
        <v>TBC</v>
      </c>
    </row>
  </sheetData>
  <customSheetViews>
    <customSheetView guid="{EDC1BD6E-863A-4FC6-A3A9-F32079F4F0C1}">
      <selection activeCell="B11" sqref="B11"/>
      <pageMargins left="0" right="0" top="0" bottom="0" header="0" footer="0"/>
      <pageSetup paperSize="9" orientation="portrait" verticalDpi="0" r:id="rId1"/>
      <headerFooter>
        <oddHeader>&amp;LINSERT YOUR NHS Foundation Trust&amp;RStatement of accounts 2014/15</oddHeader>
      </headerFooter>
    </customSheetView>
  </customSheetViews>
  <mergeCells count="3">
    <mergeCell ref="B6:C6"/>
    <mergeCell ref="B9:C9"/>
    <mergeCell ref="B13:C13"/>
  </mergeCells>
  <pageMargins left="0.70866141732283472" right="0.70866141732283472" top="0.74803149606299213" bottom="0.74803149606299213" header="0.31496062992125984" footer="0.31496062992125984"/>
  <pageSetup paperSize="9" fitToHeight="0" orientation="portrait" verticalDpi="0" r:id="rId2"/>
  <headerFooter>
    <oddFooter>&amp;RPage &amp;P of &amp;N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pageSetUpPr fitToPage="1"/>
  </sheetPr>
  <dimension ref="A1:M71"/>
  <sheetViews>
    <sheetView showGridLines="0" topLeftCell="A4" zoomScaleNormal="100" workbookViewId="0">
      <selection activeCell="C6" sqref="C6:I10"/>
    </sheetView>
  </sheetViews>
  <sheetFormatPr defaultColWidth="9.140625" defaultRowHeight="14.1" customHeight="1" x14ac:dyDescent="0.2"/>
  <cols>
    <col min="1" max="1" width="1.7109375" style="38" customWidth="1"/>
    <col min="2" max="2" width="52.140625" style="21" customWidth="1"/>
    <col min="3" max="3" width="10.7109375" style="21" customWidth="1"/>
    <col min="4" max="4" width="0.7109375" style="21" customWidth="1"/>
    <col min="5" max="5" width="10.7109375" style="21" customWidth="1"/>
    <col min="6" max="6" width="1" style="21" customWidth="1"/>
    <col min="7" max="7" width="10.7109375" style="21" customWidth="1"/>
    <col min="8" max="8" width="0.7109375" style="21" customWidth="1"/>
    <col min="9" max="9" width="10.7109375" style="21" customWidth="1"/>
    <col min="10" max="16384" width="9.140625" style="21"/>
  </cols>
  <sheetData>
    <row r="1" spans="1:13" s="313" customFormat="1" ht="14.1" customHeight="1" x14ac:dyDescent="0.2">
      <c r="A1" s="350" t="s">
        <v>1310</v>
      </c>
      <c r="B1" s="351"/>
      <c r="C1" s="351"/>
      <c r="D1" s="351"/>
      <c r="E1" s="351"/>
      <c r="F1" s="351"/>
      <c r="G1" s="351"/>
      <c r="H1" s="351"/>
      <c r="I1" s="351"/>
    </row>
    <row r="2" spans="1:13" s="313" customFormat="1" ht="14.1" customHeight="1" x14ac:dyDescent="0.2">
      <c r="A2" s="205"/>
    </row>
    <row r="3" spans="1:13" ht="14.1" customHeight="1" x14ac:dyDescent="0.2">
      <c r="A3" s="205">
        <f>ROUNDDOWN(CCE!A38,0)+1.1</f>
        <v>24.1</v>
      </c>
      <c r="B3" s="316" t="str">
        <f>"Note "&amp;A3&amp; " Trade and other payables"</f>
        <v>Note 24.1 Trade and other payables</v>
      </c>
      <c r="C3" s="326"/>
      <c r="D3" s="326"/>
      <c r="E3" s="326"/>
      <c r="F3" s="313"/>
      <c r="G3" s="326"/>
      <c r="H3" s="326"/>
      <c r="I3" s="326"/>
      <c r="J3" s="313"/>
      <c r="K3" s="313"/>
      <c r="L3" s="313"/>
      <c r="M3" s="313"/>
    </row>
    <row r="4" spans="1:13" s="224" customFormat="1" ht="14.1" customHeight="1" x14ac:dyDescent="0.2">
      <c r="A4" s="205"/>
      <c r="B4" s="316"/>
      <c r="C4" s="460" t="s">
        <v>500</v>
      </c>
      <c r="D4" s="460"/>
      <c r="E4" s="460"/>
      <c r="F4" s="313"/>
      <c r="G4" s="460" t="s">
        <v>94</v>
      </c>
      <c r="H4" s="460"/>
      <c r="I4" s="460"/>
      <c r="J4" s="313"/>
      <c r="K4" s="313"/>
      <c r="L4" s="313"/>
      <c r="M4" s="313"/>
    </row>
    <row r="5" spans="1:13" ht="28.35" customHeight="1" x14ac:dyDescent="0.2">
      <c r="A5" s="205"/>
      <c r="B5" s="313"/>
      <c r="C5" s="290" t="str">
        <f>TEXT(CurrentYearEnd, "d mmmm yyyy")</f>
        <v>31 March 2022</v>
      </c>
      <c r="D5" s="219"/>
      <c r="E5" s="290" t="str">
        <f>TEXT(ComparativeYearEnd, "d mmmm yyyy")</f>
        <v>31 March 2021</v>
      </c>
      <c r="F5" s="109"/>
      <c r="G5" s="290" t="str">
        <f>TEXT(CurrentYearEnd, "d mmmm yyyy")</f>
        <v>31 March 2022</v>
      </c>
      <c r="H5" s="219"/>
      <c r="I5" s="290" t="str">
        <f>TEXT(ComparativeYearEnd, "d mmmm yyyy")</f>
        <v>31 March 2021</v>
      </c>
      <c r="J5" s="313"/>
      <c r="K5" s="313"/>
      <c r="L5" s="313"/>
      <c r="M5" s="313"/>
    </row>
    <row r="6" spans="1:13" ht="14.1" customHeight="1" x14ac:dyDescent="0.2">
      <c r="A6" s="205"/>
      <c r="B6" s="313"/>
      <c r="C6" s="290" t="s">
        <v>590</v>
      </c>
      <c r="D6" s="219"/>
      <c r="E6" s="290" t="s">
        <v>590</v>
      </c>
      <c r="F6" s="109"/>
      <c r="G6" s="290" t="s">
        <v>590</v>
      </c>
      <c r="H6" s="219"/>
      <c r="I6" s="290" t="s">
        <v>590</v>
      </c>
      <c r="J6" s="313"/>
      <c r="K6" s="313"/>
      <c r="L6" s="313"/>
      <c r="M6" s="313"/>
    </row>
    <row r="7" spans="1:13" ht="14.1" customHeight="1" x14ac:dyDescent="0.2">
      <c r="A7" s="205"/>
      <c r="B7" s="316" t="s">
        <v>1062</v>
      </c>
      <c r="C7" s="218"/>
      <c r="D7" s="219"/>
      <c r="E7" s="218"/>
      <c r="F7" s="111"/>
      <c r="G7" s="218"/>
      <c r="H7" s="219"/>
      <c r="I7" s="218"/>
      <c r="J7" s="313"/>
      <c r="K7" s="313"/>
      <c r="L7" s="313"/>
      <c r="M7" s="313"/>
    </row>
    <row r="8" spans="1:13" ht="14.1" customHeight="1" x14ac:dyDescent="0.2">
      <c r="A8" s="205"/>
      <c r="B8" s="327" t="s">
        <v>1063</v>
      </c>
      <c r="C8" s="219">
        <v>9616</v>
      </c>
      <c r="D8" s="219"/>
      <c r="E8" s="219">
        <v>14906</v>
      </c>
      <c r="F8" s="193"/>
      <c r="G8" s="219">
        <f>+C8-1635</f>
        <v>7981</v>
      </c>
      <c r="H8" s="219"/>
      <c r="I8" s="219">
        <v>14093</v>
      </c>
      <c r="J8" s="314"/>
      <c r="K8" s="313"/>
      <c r="L8" s="313"/>
      <c r="M8" s="313"/>
    </row>
    <row r="9" spans="1:13" ht="14.1" customHeight="1" x14ac:dyDescent="0.2">
      <c r="A9" s="205"/>
      <c r="B9" s="327" t="s">
        <v>1064</v>
      </c>
      <c r="C9" s="219">
        <v>2339</v>
      </c>
      <c r="D9" s="219"/>
      <c r="E9" s="219">
        <v>5443</v>
      </c>
      <c r="F9" s="193"/>
      <c r="G9" s="219">
        <f>+C9</f>
        <v>2339</v>
      </c>
      <c r="H9" s="219"/>
      <c r="I9" s="219">
        <v>5443</v>
      </c>
      <c r="J9" s="314"/>
      <c r="K9" s="313"/>
      <c r="L9" s="313"/>
      <c r="M9" s="313"/>
    </row>
    <row r="10" spans="1:13" ht="13.7" customHeight="1" x14ac:dyDescent="0.2">
      <c r="A10" s="205"/>
      <c r="B10" s="327" t="s">
        <v>1065</v>
      </c>
      <c r="C10" s="219">
        <v>27938</v>
      </c>
      <c r="D10" s="219"/>
      <c r="E10" s="219">
        <v>24251</v>
      </c>
      <c r="F10" s="193"/>
      <c r="G10" s="219">
        <f>+C10-11</f>
        <v>27927</v>
      </c>
      <c r="H10" s="219"/>
      <c r="I10" s="219">
        <v>24237</v>
      </c>
      <c r="J10" s="314"/>
      <c r="K10" s="313"/>
      <c r="L10" s="313"/>
      <c r="M10" s="313"/>
    </row>
    <row r="11" spans="1:13" ht="13.7" customHeight="1" x14ac:dyDescent="0.2">
      <c r="A11" s="205"/>
      <c r="B11" s="327" t="s">
        <v>1066</v>
      </c>
      <c r="C11" s="219">
        <v>13</v>
      </c>
      <c r="D11" s="219"/>
      <c r="E11" s="219">
        <v>13</v>
      </c>
      <c r="F11" s="193"/>
      <c r="G11" s="219">
        <f>+C11</f>
        <v>13</v>
      </c>
      <c r="H11" s="219"/>
      <c r="I11" s="219">
        <v>13</v>
      </c>
      <c r="J11" s="314"/>
      <c r="K11" s="313"/>
      <c r="L11" s="313"/>
      <c r="M11" s="313"/>
    </row>
    <row r="12" spans="1:13" s="275" customFormat="1" ht="13.7" hidden="1" customHeight="1" x14ac:dyDescent="0.2">
      <c r="A12" s="205"/>
      <c r="B12" s="327" t="s">
        <v>1067</v>
      </c>
      <c r="C12" s="219">
        <v>0</v>
      </c>
      <c r="D12" s="219"/>
      <c r="E12" s="219">
        <v>0</v>
      </c>
      <c r="F12" s="193"/>
      <c r="G12" s="219"/>
      <c r="H12" s="219"/>
      <c r="I12" s="219">
        <v>0</v>
      </c>
      <c r="J12" s="314"/>
      <c r="K12" s="313"/>
      <c r="L12" s="313"/>
      <c r="M12" s="313"/>
    </row>
    <row r="13" spans="1:13" ht="14.1" customHeight="1" x14ac:dyDescent="0.2">
      <c r="A13" s="205"/>
      <c r="B13" s="327" t="s">
        <v>1068</v>
      </c>
      <c r="C13" s="219">
        <v>1489</v>
      </c>
      <c r="D13" s="219"/>
      <c r="E13" s="219">
        <v>1418</v>
      </c>
      <c r="F13" s="193"/>
      <c r="G13" s="219">
        <f>+C13-15</f>
        <v>1474</v>
      </c>
      <c r="H13" s="219"/>
      <c r="I13" s="219">
        <v>1401</v>
      </c>
      <c r="J13" s="314"/>
      <c r="K13" s="313"/>
      <c r="L13" s="313"/>
      <c r="M13" s="313"/>
    </row>
    <row r="14" spans="1:13" ht="14.1" customHeight="1" x14ac:dyDescent="0.2">
      <c r="A14" s="205"/>
      <c r="B14" s="327" t="s">
        <v>1069</v>
      </c>
      <c r="C14" s="219">
        <v>282</v>
      </c>
      <c r="D14" s="219"/>
      <c r="E14" s="219">
        <v>10</v>
      </c>
      <c r="F14" s="193"/>
      <c r="G14" s="219">
        <f>+C14-282</f>
        <v>0</v>
      </c>
      <c r="H14" s="219"/>
      <c r="I14" s="219">
        <v>0</v>
      </c>
      <c r="J14" s="314"/>
      <c r="K14" s="313"/>
      <c r="L14" s="313"/>
      <c r="M14" s="313"/>
    </row>
    <row r="15" spans="1:13" ht="14.1" customHeight="1" x14ac:dyDescent="0.2">
      <c r="A15" s="205"/>
      <c r="B15" s="327" t="s">
        <v>1070</v>
      </c>
      <c r="C15" s="219">
        <v>898</v>
      </c>
      <c r="D15" s="219"/>
      <c r="E15" s="219">
        <v>1198</v>
      </c>
      <c r="F15" s="193"/>
      <c r="G15" s="219">
        <f>+C15+413</f>
        <v>1311</v>
      </c>
      <c r="H15" s="219"/>
      <c r="I15" s="219">
        <v>1254</v>
      </c>
      <c r="J15" s="314"/>
      <c r="K15" s="313"/>
      <c r="L15" s="313"/>
      <c r="M15" s="313"/>
    </row>
    <row r="16" spans="1:13" ht="14.1" customHeight="1" x14ac:dyDescent="0.2">
      <c r="A16" s="205"/>
      <c r="B16" s="327" t="s">
        <v>1071</v>
      </c>
      <c r="C16" s="219">
        <v>115</v>
      </c>
      <c r="D16" s="219"/>
      <c r="E16" s="219">
        <v>0</v>
      </c>
      <c r="F16" s="193"/>
      <c r="G16" s="219">
        <f>+C16</f>
        <v>115</v>
      </c>
      <c r="H16" s="219"/>
      <c r="I16" s="219">
        <v>0</v>
      </c>
      <c r="J16" s="314"/>
      <c r="K16" s="313"/>
      <c r="L16" s="313"/>
      <c r="M16" s="313"/>
    </row>
    <row r="17" spans="1:13" ht="14.1" customHeight="1" x14ac:dyDescent="0.2">
      <c r="A17" s="205"/>
      <c r="B17" s="327" t="s">
        <v>1072</v>
      </c>
      <c r="C17" s="219">
        <v>3665</v>
      </c>
      <c r="D17" s="219"/>
      <c r="E17" s="219">
        <v>3192</v>
      </c>
      <c r="F17" s="193"/>
      <c r="G17" s="219">
        <f>+C17-165</f>
        <v>3500</v>
      </c>
      <c r="H17" s="219"/>
      <c r="I17" s="219">
        <v>2970</v>
      </c>
      <c r="J17" s="313"/>
      <c r="K17" s="313"/>
      <c r="L17" s="313"/>
      <c r="M17" s="313"/>
    </row>
    <row r="18" spans="1:13" s="184" customFormat="1" ht="13.7" hidden="1" customHeight="1" x14ac:dyDescent="0.2">
      <c r="A18" s="205"/>
      <c r="B18" s="327" t="s">
        <v>1073</v>
      </c>
      <c r="C18" s="219">
        <v>0</v>
      </c>
      <c r="D18" s="219"/>
      <c r="E18" s="219">
        <v>0</v>
      </c>
      <c r="F18" s="193"/>
      <c r="G18" s="219"/>
      <c r="H18" s="219"/>
      <c r="I18" s="219"/>
      <c r="J18" s="313"/>
      <c r="K18" s="313"/>
      <c r="L18" s="313"/>
      <c r="M18" s="313"/>
    </row>
    <row r="19" spans="1:13" ht="14.1" customHeight="1" thickBot="1" x14ac:dyDescent="0.25">
      <c r="A19" s="205"/>
      <c r="B19" s="289" t="s">
        <v>1074</v>
      </c>
      <c r="C19" s="206">
        <f>SUM(C8:C18)</f>
        <v>46355</v>
      </c>
      <c r="D19" s="219"/>
      <c r="E19" s="206">
        <f>SUM(E8:E18)</f>
        <v>50431</v>
      </c>
      <c r="F19" s="181"/>
      <c r="G19" s="206">
        <f>SUM(G8:G18)</f>
        <v>44660</v>
      </c>
      <c r="H19" s="219"/>
      <c r="I19" s="206">
        <f>SUM(I8:I18)</f>
        <v>49411</v>
      </c>
      <c r="J19" s="313"/>
      <c r="K19" s="313"/>
      <c r="L19" s="313"/>
      <c r="M19" s="313"/>
    </row>
    <row r="20" spans="1:13" ht="8.4499999999999993" customHeight="1" thickTop="1" x14ac:dyDescent="0.2">
      <c r="A20" s="205"/>
      <c r="B20" s="316"/>
      <c r="C20" s="187"/>
      <c r="D20" s="219"/>
      <c r="E20" s="187"/>
      <c r="F20" s="110"/>
      <c r="G20" s="187"/>
      <c r="H20" s="219"/>
      <c r="I20" s="187"/>
      <c r="J20" s="313"/>
      <c r="K20" s="313"/>
      <c r="L20" s="313"/>
      <c r="M20" s="313"/>
    </row>
    <row r="21" spans="1:13" ht="14.1" customHeight="1" x14ac:dyDescent="0.2">
      <c r="A21" s="205"/>
      <c r="B21" s="316" t="s">
        <v>1030</v>
      </c>
      <c r="C21" s="218"/>
      <c r="D21" s="219"/>
      <c r="E21" s="218"/>
      <c r="F21" s="111"/>
      <c r="G21" s="218"/>
      <c r="H21" s="219"/>
      <c r="I21" s="218"/>
      <c r="J21" s="313"/>
      <c r="K21" s="313"/>
      <c r="L21" s="313"/>
      <c r="M21" s="313"/>
    </row>
    <row r="22" spans="1:13" ht="14.1" hidden="1" customHeight="1" x14ac:dyDescent="0.2">
      <c r="A22" s="205"/>
      <c r="B22" s="327" t="s">
        <v>1063</v>
      </c>
      <c r="C22" s="219">
        <v>0</v>
      </c>
      <c r="D22" s="219"/>
      <c r="E22" s="219">
        <v>0</v>
      </c>
      <c r="F22" s="193"/>
      <c r="G22" s="219"/>
      <c r="H22" s="219"/>
      <c r="I22" s="219"/>
      <c r="J22" s="314"/>
      <c r="K22" s="313"/>
      <c r="L22" s="313"/>
      <c r="M22" s="313"/>
    </row>
    <row r="23" spans="1:13" ht="14.1" hidden="1" customHeight="1" x14ac:dyDescent="0.2">
      <c r="A23" s="205"/>
      <c r="B23" s="327" t="s">
        <v>1064</v>
      </c>
      <c r="C23" s="219">
        <v>0</v>
      </c>
      <c r="D23" s="219"/>
      <c r="E23" s="219">
        <v>0</v>
      </c>
      <c r="F23" s="193"/>
      <c r="G23" s="219"/>
      <c r="H23" s="219"/>
      <c r="I23" s="219"/>
      <c r="J23" s="314"/>
      <c r="K23" s="313"/>
      <c r="L23" s="313"/>
      <c r="M23" s="313"/>
    </row>
    <row r="24" spans="1:13" ht="14.1" hidden="1" customHeight="1" x14ac:dyDescent="0.2">
      <c r="A24" s="205"/>
      <c r="B24" s="327" t="s">
        <v>1065</v>
      </c>
      <c r="C24" s="219">
        <v>0</v>
      </c>
      <c r="D24" s="219"/>
      <c r="E24" s="219">
        <v>0</v>
      </c>
      <c r="F24" s="193"/>
      <c r="G24" s="219"/>
      <c r="H24" s="219"/>
      <c r="I24" s="219"/>
      <c r="J24" s="314"/>
      <c r="K24" s="313"/>
      <c r="L24" s="313"/>
      <c r="M24" s="313"/>
    </row>
    <row r="25" spans="1:13" ht="13.7" hidden="1" customHeight="1" x14ac:dyDescent="0.2">
      <c r="A25" s="205"/>
      <c r="B25" s="327" t="s">
        <v>1066</v>
      </c>
      <c r="C25" s="219">
        <v>0</v>
      </c>
      <c r="D25" s="219"/>
      <c r="E25" s="219">
        <v>0</v>
      </c>
      <c r="F25" s="193"/>
      <c r="G25" s="219"/>
      <c r="H25" s="219"/>
      <c r="I25" s="219"/>
      <c r="J25" s="314"/>
      <c r="K25" s="313"/>
      <c r="L25" s="313"/>
      <c r="M25" s="313"/>
    </row>
    <row r="26" spans="1:13" s="275" customFormat="1" ht="13.7" hidden="1" customHeight="1" x14ac:dyDescent="0.2">
      <c r="A26" s="205"/>
      <c r="B26" s="327" t="s">
        <v>1067</v>
      </c>
      <c r="C26" s="219">
        <v>0</v>
      </c>
      <c r="D26" s="219"/>
      <c r="E26" s="219">
        <v>0</v>
      </c>
      <c r="F26" s="193"/>
      <c r="G26" s="219"/>
      <c r="H26" s="219"/>
      <c r="I26" s="219"/>
      <c r="J26" s="314"/>
      <c r="K26" s="313"/>
      <c r="L26" s="313"/>
      <c r="M26" s="313"/>
    </row>
    <row r="27" spans="1:13" ht="14.1" hidden="1" customHeight="1" x14ac:dyDescent="0.2">
      <c r="A27" s="205"/>
      <c r="B27" s="327" t="s">
        <v>1069</v>
      </c>
      <c r="C27" s="219">
        <v>0</v>
      </c>
      <c r="D27" s="219"/>
      <c r="E27" s="219">
        <v>0</v>
      </c>
      <c r="F27" s="193"/>
      <c r="G27" s="219"/>
      <c r="H27" s="219"/>
      <c r="I27" s="219"/>
      <c r="J27" s="314"/>
      <c r="K27" s="313"/>
      <c r="L27" s="313"/>
      <c r="M27" s="313"/>
    </row>
    <row r="28" spans="1:13" ht="14.1" hidden="1" customHeight="1" x14ac:dyDescent="0.2">
      <c r="A28" s="205"/>
      <c r="B28" s="327" t="s">
        <v>1070</v>
      </c>
      <c r="C28" s="219">
        <v>0</v>
      </c>
      <c r="D28" s="219"/>
      <c r="E28" s="219">
        <v>0</v>
      </c>
      <c r="F28" s="193"/>
      <c r="G28" s="219"/>
      <c r="H28" s="219"/>
      <c r="I28" s="219"/>
      <c r="J28" s="314"/>
      <c r="K28" s="313"/>
      <c r="L28" s="313"/>
      <c r="M28" s="313"/>
    </row>
    <row r="29" spans="1:13" ht="14.1" customHeight="1" x14ac:dyDescent="0.2">
      <c r="A29" s="205"/>
      <c r="B29" s="327" t="s">
        <v>1072</v>
      </c>
      <c r="C29" s="219">
        <v>975</v>
      </c>
      <c r="D29" s="219"/>
      <c r="E29" s="219">
        <v>1048</v>
      </c>
      <c r="F29" s="193"/>
      <c r="G29" s="219">
        <f>+C29</f>
        <v>975</v>
      </c>
      <c r="H29" s="219"/>
      <c r="I29" s="219">
        <v>1048</v>
      </c>
      <c r="J29" s="314"/>
      <c r="K29" s="313"/>
      <c r="L29" s="313"/>
      <c r="M29" s="313"/>
    </row>
    <row r="30" spans="1:13" s="184" customFormat="1" ht="13.7" hidden="1" customHeight="1" x14ac:dyDescent="0.2">
      <c r="A30" s="205"/>
      <c r="B30" s="327" t="s">
        <v>1073</v>
      </c>
      <c r="C30" s="219">
        <v>0</v>
      </c>
      <c r="D30" s="219"/>
      <c r="E30" s="219">
        <v>0</v>
      </c>
      <c r="F30" s="193"/>
      <c r="G30" s="219"/>
      <c r="H30" s="219"/>
      <c r="I30" s="219"/>
      <c r="J30" s="314"/>
      <c r="K30" s="313"/>
      <c r="L30" s="313"/>
      <c r="M30" s="313"/>
    </row>
    <row r="31" spans="1:13" ht="14.1" customHeight="1" thickBot="1" x14ac:dyDescent="0.25">
      <c r="A31" s="205"/>
      <c r="B31" s="289" t="s">
        <v>1075</v>
      </c>
      <c r="C31" s="206">
        <f>SUM(C22:C30)</f>
        <v>975</v>
      </c>
      <c r="D31" s="219"/>
      <c r="E31" s="206">
        <f>SUM(E22:E30)</f>
        <v>1048</v>
      </c>
      <c r="F31" s="181"/>
      <c r="G31" s="206">
        <f>SUM(G22:G30)</f>
        <v>975</v>
      </c>
      <c r="H31" s="219"/>
      <c r="I31" s="206">
        <f>SUM(I22:I30)</f>
        <v>1048</v>
      </c>
      <c r="J31" s="313"/>
      <c r="K31" s="313"/>
      <c r="L31" s="313"/>
      <c r="M31" s="313"/>
    </row>
    <row r="32" spans="1:13" ht="14.1" customHeight="1" thickTop="1" x14ac:dyDescent="0.2">
      <c r="A32" s="205"/>
      <c r="B32" s="316"/>
      <c r="C32" s="313"/>
      <c r="D32" s="313"/>
      <c r="E32" s="313"/>
      <c r="F32" s="204"/>
      <c r="G32" s="313"/>
      <c r="H32" s="313"/>
      <c r="I32" s="313"/>
      <c r="J32" s="313"/>
      <c r="K32" s="313"/>
      <c r="L32" s="313"/>
      <c r="M32" s="313"/>
    </row>
    <row r="33" spans="1:13" s="202" customFormat="1" ht="14.1" customHeight="1" x14ac:dyDescent="0.2">
      <c r="A33" s="205"/>
      <c r="B33" s="229" t="s">
        <v>1076</v>
      </c>
      <c r="C33" s="313"/>
      <c r="D33" s="313"/>
      <c r="E33" s="313"/>
      <c r="F33" s="204"/>
      <c r="G33" s="313"/>
      <c r="H33" s="313"/>
      <c r="I33" s="313"/>
      <c r="J33" s="313"/>
      <c r="K33" s="313"/>
      <c r="L33" s="313"/>
      <c r="M33" s="313"/>
    </row>
    <row r="34" spans="1:13" s="202" customFormat="1" ht="14.1" customHeight="1" x14ac:dyDescent="0.2">
      <c r="A34" s="205"/>
      <c r="B34" s="198" t="s">
        <v>1013</v>
      </c>
      <c r="C34" s="219">
        <v>6642</v>
      </c>
      <c r="D34" s="219"/>
      <c r="E34" s="219">
        <v>8551</v>
      </c>
      <c r="F34" s="204"/>
      <c r="G34" s="427">
        <f>+C34</f>
        <v>6642</v>
      </c>
      <c r="H34" s="313"/>
      <c r="I34" s="219">
        <v>8551</v>
      </c>
      <c r="J34" s="313"/>
      <c r="K34" s="313"/>
      <c r="L34" s="313"/>
      <c r="M34" s="313"/>
    </row>
    <row r="35" spans="1:13" ht="13.7" hidden="1" customHeight="1" x14ac:dyDescent="0.2">
      <c r="A35" s="205"/>
      <c r="B35" s="198" t="s">
        <v>1030</v>
      </c>
      <c r="C35" s="219">
        <v>0</v>
      </c>
      <c r="D35" s="219"/>
      <c r="E35" s="219">
        <v>0</v>
      </c>
      <c r="F35" s="313"/>
      <c r="G35" s="313"/>
      <c r="H35" s="313"/>
      <c r="I35" s="313"/>
      <c r="J35" s="313"/>
    </row>
    <row r="36" spans="1:13" s="202" customFormat="1" ht="13.7" customHeight="1" x14ac:dyDescent="0.2">
      <c r="A36" s="205"/>
      <c r="B36" s="316"/>
      <c r="C36" s="313"/>
      <c r="D36" s="313"/>
      <c r="E36" s="313"/>
      <c r="F36" s="313"/>
      <c r="G36" s="313"/>
      <c r="H36" s="313"/>
      <c r="I36" s="313"/>
      <c r="J36" s="313"/>
    </row>
    <row r="37" spans="1:13" s="226" customFormat="1" ht="13.7" customHeight="1" x14ac:dyDescent="0.2">
      <c r="A37" s="205"/>
      <c r="B37" s="316"/>
      <c r="C37" s="313"/>
      <c r="D37" s="313"/>
      <c r="E37" s="313"/>
      <c r="F37" s="313"/>
      <c r="G37" s="313"/>
      <c r="H37" s="313"/>
      <c r="I37" s="313"/>
      <c r="J37" s="313"/>
    </row>
    <row r="38" spans="1:13" ht="14.1" customHeight="1" x14ac:dyDescent="0.2">
      <c r="A38" s="205">
        <f>A3+0.1</f>
        <v>24.200000000000003</v>
      </c>
      <c r="B38" s="289" t="str">
        <f>"Note "&amp;A38&amp; " Early retirements in NHS payables above"</f>
        <v>Note 24.2 Early retirements in NHS payables above</v>
      </c>
      <c r="C38" s="313"/>
      <c r="D38" s="313"/>
      <c r="E38" s="313"/>
      <c r="F38" s="313"/>
      <c r="G38" s="313"/>
      <c r="H38" s="313"/>
      <c r="I38" s="313"/>
      <c r="J38" s="313"/>
    </row>
    <row r="39" spans="1:13" s="124" customFormat="1" ht="14.1" customHeight="1" x14ac:dyDescent="0.2">
      <c r="A39" s="205"/>
      <c r="B39" s="126"/>
      <c r="C39" s="290"/>
      <c r="D39" s="290"/>
      <c r="E39" s="290"/>
      <c r="F39" s="290"/>
      <c r="G39" s="290"/>
      <c r="H39" s="290"/>
      <c r="I39" s="290"/>
      <c r="J39" s="313"/>
    </row>
    <row r="40" spans="1:13" ht="12" x14ac:dyDescent="0.2">
      <c r="A40" s="205"/>
      <c r="B40" s="277" t="s">
        <v>1424</v>
      </c>
      <c r="C40" s="290"/>
      <c r="D40" s="290"/>
      <c r="E40" s="290"/>
      <c r="F40" s="290"/>
      <c r="G40" s="290"/>
      <c r="H40" s="290"/>
      <c r="I40" s="290"/>
      <c r="J40" s="313"/>
    </row>
    <row r="41" spans="1:13" ht="14.1" customHeight="1" x14ac:dyDescent="0.2">
      <c r="A41" s="205"/>
      <c r="B41" s="313"/>
      <c r="C41" s="290"/>
      <c r="D41" s="290"/>
      <c r="E41" s="290"/>
      <c r="F41" s="290"/>
      <c r="G41" s="290"/>
      <c r="H41" s="290"/>
      <c r="I41" s="290"/>
      <c r="J41" s="313"/>
    </row>
    <row r="42" spans="1:13" ht="26.45" customHeight="1" x14ac:dyDescent="0.2">
      <c r="A42" s="205"/>
      <c r="B42" s="313"/>
      <c r="C42" s="219"/>
      <c r="D42" s="219"/>
      <c r="E42" s="209"/>
      <c r="F42" s="219"/>
      <c r="G42" s="219"/>
      <c r="H42" s="219"/>
      <c r="I42" s="209"/>
      <c r="J42" s="203"/>
    </row>
    <row r="43" spans="1:13" ht="14.1" customHeight="1" x14ac:dyDescent="0.2">
      <c r="A43" s="205"/>
      <c r="B43" s="313"/>
      <c r="C43" s="209"/>
      <c r="D43" s="219"/>
      <c r="E43" s="219"/>
      <c r="F43" s="219"/>
      <c r="G43" s="209"/>
      <c r="H43" s="219"/>
      <c r="I43" s="219"/>
      <c r="J43" s="203"/>
    </row>
    <row r="44" spans="1:13" ht="14.1" customHeight="1" x14ac:dyDescent="0.2">
      <c r="A44" s="205"/>
      <c r="B44" s="313"/>
      <c r="C44" s="219"/>
      <c r="D44" s="219"/>
      <c r="E44" s="209"/>
      <c r="F44" s="219"/>
      <c r="G44" s="219"/>
      <c r="H44" s="219"/>
      <c r="I44" s="209"/>
      <c r="J44" s="203"/>
    </row>
    <row r="45" spans="1:13" s="124" customFormat="1" ht="14.1" customHeight="1" x14ac:dyDescent="0.2">
      <c r="A45" s="205"/>
      <c r="B45" s="313"/>
      <c r="C45" s="219"/>
      <c r="D45" s="219"/>
      <c r="E45" s="219"/>
      <c r="F45" s="219"/>
      <c r="G45" s="219"/>
      <c r="H45" s="219"/>
      <c r="I45" s="219"/>
      <c r="J45" s="203"/>
    </row>
    <row r="46" spans="1:13" ht="14.1" customHeight="1" x14ac:dyDescent="0.2">
      <c r="A46" s="205"/>
      <c r="B46" s="313"/>
      <c r="C46" s="219"/>
      <c r="D46" s="219"/>
      <c r="E46" s="219"/>
      <c r="F46" s="219"/>
      <c r="G46" s="219"/>
      <c r="H46" s="219"/>
      <c r="I46" s="219"/>
      <c r="J46" s="203"/>
    </row>
    <row r="68" spans="1:1" ht="14.1" customHeight="1" x14ac:dyDescent="0.2">
      <c r="A68" s="313"/>
    </row>
    <row r="69" spans="1:1" ht="14.1" customHeight="1" x14ac:dyDescent="0.2">
      <c r="A69" s="313"/>
    </row>
    <row r="70" spans="1:1" ht="14.1" customHeight="1" x14ac:dyDescent="0.2">
      <c r="A70" s="313"/>
    </row>
    <row r="71" spans="1:1" ht="14.1" customHeight="1" x14ac:dyDescent="0.2">
      <c r="A71" s="313"/>
    </row>
  </sheetData>
  <customSheetViews>
    <customSheetView guid="{EDC1BD6E-863A-4FC6-A3A9-F32079F4F0C1}" topLeftCell="A16">
      <selection activeCell="L42" sqref="L42"/>
      <pageMargins left="0" right="0" top="0" bottom="0" header="0" footer="0"/>
      <pageSetup paperSize="9" orientation="portrait" verticalDpi="0" r:id="rId1"/>
    </customSheetView>
  </customSheetViews>
  <mergeCells count="2">
    <mergeCell ref="C4:E4"/>
    <mergeCell ref="G4:I4"/>
  </mergeCells>
  <pageMargins left="0.70866141732283472" right="0.70866141732283472" top="0.74803149606299213" bottom="0.74803149606299213" header="0.31496062992125984" footer="0.31496062992125984"/>
  <pageSetup paperSize="9" scale="87" fitToHeight="0" orientation="portrait" verticalDpi="0" r:id="rId2"/>
  <headerFooter>
    <oddFooter>&amp;RPage &amp;P of &amp;N</oddFooter>
  </headerFooter>
  <ignoredErrors>
    <ignoredError sqref="C6:I7 D10 D8 D9 F8:H8 F9:H9 F10:H10"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pageSetUpPr fitToPage="1"/>
  </sheetPr>
  <dimension ref="A1:I67"/>
  <sheetViews>
    <sheetView showGridLines="0" zoomScaleNormal="100" workbookViewId="0">
      <selection activeCell="G29" sqref="G29:I29"/>
    </sheetView>
  </sheetViews>
  <sheetFormatPr defaultColWidth="9.140625" defaultRowHeight="14.1" customHeight="1" x14ac:dyDescent="0.2"/>
  <cols>
    <col min="1" max="1" width="1.7109375" style="38" customWidth="1"/>
    <col min="2" max="2" width="40.140625" style="21" customWidth="1"/>
    <col min="3" max="3" width="10.7109375" style="21" customWidth="1"/>
    <col min="4" max="4" width="0.7109375" style="21" customWidth="1"/>
    <col min="5" max="5" width="10.7109375" style="21" customWidth="1"/>
    <col min="6" max="6" width="1" style="21" customWidth="1"/>
    <col min="7" max="7" width="10.7109375" style="184" customWidth="1"/>
    <col min="8" max="8" width="0.7109375" style="184" customWidth="1"/>
    <col min="9" max="9" width="10.7109375" style="184" customWidth="1"/>
    <col min="10" max="16384" width="9.140625" style="21"/>
  </cols>
  <sheetData>
    <row r="1" spans="1:9" s="313" customFormat="1" ht="14.1" customHeight="1" x14ac:dyDescent="0.2">
      <c r="A1" s="350" t="s">
        <v>1310</v>
      </c>
      <c r="B1" s="351"/>
      <c r="C1" s="351"/>
      <c r="D1" s="351"/>
      <c r="E1" s="351"/>
      <c r="F1" s="351"/>
      <c r="G1" s="351"/>
      <c r="H1" s="351"/>
      <c r="I1" s="351"/>
    </row>
    <row r="2" spans="1:9" s="313" customFormat="1" ht="14.1" customHeight="1" x14ac:dyDescent="0.2">
      <c r="A2" s="205"/>
    </row>
    <row r="3" spans="1:9" ht="14.1" customHeight="1" x14ac:dyDescent="0.2">
      <c r="A3" s="205">
        <f>ROUNDDOWN(Payables!A38,0)+1</f>
        <v>25</v>
      </c>
      <c r="B3" s="316" t="str">
        <f>"Note "&amp; A3&amp;" Other liabilities"</f>
        <v>Note 25 Other liabilities</v>
      </c>
      <c r="C3" s="326"/>
      <c r="D3" s="326"/>
      <c r="E3" s="326"/>
      <c r="F3" s="313"/>
      <c r="G3" s="326"/>
      <c r="H3" s="326"/>
      <c r="I3" s="326"/>
    </row>
    <row r="4" spans="1:9" s="224" customFormat="1" ht="12.2" customHeight="1" x14ac:dyDescent="0.2">
      <c r="A4" s="205"/>
      <c r="B4" s="316"/>
      <c r="C4" s="460" t="s">
        <v>500</v>
      </c>
      <c r="D4" s="460"/>
      <c r="E4" s="460"/>
      <c r="F4" s="313"/>
      <c r="G4" s="460" t="s">
        <v>94</v>
      </c>
      <c r="H4" s="460"/>
      <c r="I4" s="460"/>
    </row>
    <row r="5" spans="1:9" ht="24.6" customHeight="1" x14ac:dyDescent="0.2">
      <c r="A5" s="205"/>
      <c r="B5" s="316"/>
      <c r="C5" s="290" t="str">
        <f>TEXT(CurrentYearEnd, "d mmmm yyyy")</f>
        <v>31 March 2022</v>
      </c>
      <c r="D5" s="290"/>
      <c r="E5" s="290" t="str">
        <f>TEXT(ComparativeYearEnd, "d mmmm yyyy")</f>
        <v>31 March 2021</v>
      </c>
      <c r="F5" s="313"/>
      <c r="G5" s="290" t="str">
        <f>TEXT(CurrentYearEnd, "d mmmm yyyy")</f>
        <v>31 March 2022</v>
      </c>
      <c r="H5" s="290"/>
      <c r="I5" s="290" t="str">
        <f>TEXT(ComparativeYearEnd, "d mmmm yyyy")</f>
        <v>31 March 2021</v>
      </c>
    </row>
    <row r="6" spans="1:9" ht="14.1" customHeight="1" x14ac:dyDescent="0.2">
      <c r="A6" s="205"/>
      <c r="B6" s="316"/>
      <c r="C6" s="290" t="s">
        <v>590</v>
      </c>
      <c r="D6" s="290"/>
      <c r="E6" s="290" t="s">
        <v>590</v>
      </c>
      <c r="F6" s="313"/>
      <c r="G6" s="290" t="s">
        <v>590</v>
      </c>
      <c r="H6" s="290"/>
      <c r="I6" s="290" t="s">
        <v>590</v>
      </c>
    </row>
    <row r="7" spans="1:9" ht="14.1" customHeight="1" x14ac:dyDescent="0.2">
      <c r="A7" s="205"/>
      <c r="B7" s="316" t="s">
        <v>1062</v>
      </c>
      <c r="C7" s="219"/>
      <c r="D7" s="219"/>
      <c r="E7" s="219"/>
      <c r="F7" s="219"/>
      <c r="G7" s="219"/>
      <c r="H7" s="219"/>
      <c r="I7" s="219"/>
    </row>
    <row r="8" spans="1:9" ht="14.1" customHeight="1" x14ac:dyDescent="0.2">
      <c r="A8" s="205"/>
      <c r="B8" s="327" t="s">
        <v>1078</v>
      </c>
      <c r="C8" s="219">
        <v>4225</v>
      </c>
      <c r="D8" s="219"/>
      <c r="E8" s="219">
        <v>7181</v>
      </c>
      <c r="F8" s="219"/>
      <c r="G8" s="219">
        <f>+C8</f>
        <v>4225</v>
      </c>
      <c r="H8" s="219"/>
      <c r="I8" s="219">
        <f>+E8</f>
        <v>7181</v>
      </c>
    </row>
    <row r="9" spans="1:9" ht="14.1" hidden="1" customHeight="1" x14ac:dyDescent="0.2">
      <c r="A9" s="205"/>
      <c r="B9" s="327" t="s">
        <v>1079</v>
      </c>
      <c r="C9" s="219">
        <v>0</v>
      </c>
      <c r="D9" s="219"/>
      <c r="E9" s="219">
        <v>0</v>
      </c>
      <c r="F9" s="219"/>
      <c r="G9" s="219"/>
      <c r="H9" s="219"/>
      <c r="I9" s="219"/>
    </row>
    <row r="10" spans="1:9" ht="14.1" hidden="1" customHeight="1" x14ac:dyDescent="0.2">
      <c r="A10" s="205"/>
      <c r="B10" s="327" t="s">
        <v>1080</v>
      </c>
      <c r="C10" s="219">
        <v>0</v>
      </c>
      <c r="D10" s="219"/>
      <c r="E10" s="219">
        <v>0</v>
      </c>
      <c r="F10" s="219"/>
      <c r="G10" s="219"/>
      <c r="H10" s="219"/>
      <c r="I10" s="219"/>
    </row>
    <row r="11" spans="1:9" ht="14.1" hidden="1" customHeight="1" x14ac:dyDescent="0.2">
      <c r="A11" s="205"/>
      <c r="B11" s="327" t="s">
        <v>1081</v>
      </c>
      <c r="C11" s="219">
        <v>0</v>
      </c>
      <c r="D11" s="219"/>
      <c r="E11" s="219">
        <v>0</v>
      </c>
      <c r="F11" s="219"/>
      <c r="G11" s="219"/>
      <c r="H11" s="219"/>
      <c r="I11" s="219"/>
    </row>
    <row r="12" spans="1:9" s="244" customFormat="1" ht="14.1" hidden="1" customHeight="1" x14ac:dyDescent="0.2">
      <c r="A12" s="205"/>
      <c r="B12" s="327" t="s">
        <v>1082</v>
      </c>
      <c r="C12" s="219">
        <v>0</v>
      </c>
      <c r="D12" s="219"/>
      <c r="E12" s="219">
        <v>0</v>
      </c>
      <c r="F12" s="219"/>
      <c r="G12" s="219"/>
      <c r="H12" s="219"/>
      <c r="I12" s="219"/>
    </row>
    <row r="13" spans="1:9" s="184" customFormat="1" ht="14.1" hidden="1" customHeight="1" x14ac:dyDescent="0.2">
      <c r="A13" s="205"/>
      <c r="B13" s="327" t="s">
        <v>1083</v>
      </c>
      <c r="C13" s="219">
        <v>0</v>
      </c>
      <c r="D13" s="219"/>
      <c r="E13" s="219">
        <v>0</v>
      </c>
      <c r="F13" s="219"/>
      <c r="G13" s="219"/>
      <c r="H13" s="219"/>
      <c r="I13" s="219"/>
    </row>
    <row r="14" spans="1:9" ht="14.1" customHeight="1" thickBot="1" x14ac:dyDescent="0.25">
      <c r="A14" s="205"/>
      <c r="B14" s="289" t="s">
        <v>1084</v>
      </c>
      <c r="C14" s="206">
        <f>SUM(C8:C13)</f>
        <v>4225</v>
      </c>
      <c r="D14" s="219"/>
      <c r="E14" s="206">
        <f>SUM(E8:E13)</f>
        <v>7181</v>
      </c>
      <c r="F14" s="313"/>
      <c r="G14" s="206">
        <f>SUM(G8:G13)</f>
        <v>4225</v>
      </c>
      <c r="H14" s="219"/>
      <c r="I14" s="206">
        <f>SUM(I8:I13)</f>
        <v>7181</v>
      </c>
    </row>
    <row r="15" spans="1:9" ht="33" hidden="1" customHeight="1" thickTop="1" x14ac:dyDescent="0.2">
      <c r="A15" s="205"/>
      <c r="B15" s="313"/>
      <c r="C15" s="199"/>
      <c r="D15" s="219"/>
      <c r="E15" s="199"/>
      <c r="F15" s="313"/>
      <c r="G15" s="199"/>
      <c r="H15" s="219"/>
      <c r="I15" s="199"/>
    </row>
    <row r="16" spans="1:9" ht="14.1" hidden="1" customHeight="1" x14ac:dyDescent="0.2">
      <c r="A16" s="205"/>
      <c r="B16" s="316" t="s">
        <v>1030</v>
      </c>
      <c r="C16" s="219"/>
      <c r="D16" s="219"/>
      <c r="E16" s="219"/>
      <c r="F16" s="316"/>
      <c r="G16" s="219"/>
      <c r="H16" s="219"/>
      <c r="I16" s="219"/>
    </row>
    <row r="17" spans="1:9" ht="14.1" hidden="1" customHeight="1" x14ac:dyDescent="0.2">
      <c r="A17" s="205"/>
      <c r="B17" s="327" t="s">
        <v>1078</v>
      </c>
      <c r="C17" s="219">
        <v>0</v>
      </c>
      <c r="D17" s="219"/>
      <c r="E17" s="219">
        <v>0</v>
      </c>
      <c r="F17" s="313"/>
      <c r="G17" s="219"/>
      <c r="H17" s="219"/>
      <c r="I17" s="219"/>
    </row>
    <row r="18" spans="1:9" ht="14.1" hidden="1" customHeight="1" x14ac:dyDescent="0.2">
      <c r="A18" s="205"/>
      <c r="B18" s="327" t="s">
        <v>1079</v>
      </c>
      <c r="C18" s="219">
        <v>0</v>
      </c>
      <c r="D18" s="219"/>
      <c r="E18" s="219">
        <v>0</v>
      </c>
      <c r="F18" s="313"/>
      <c r="G18" s="219"/>
      <c r="H18" s="219"/>
      <c r="I18" s="219"/>
    </row>
    <row r="19" spans="1:9" ht="14.1" hidden="1" customHeight="1" x14ac:dyDescent="0.2">
      <c r="A19" s="205"/>
      <c r="B19" s="327" t="s">
        <v>1080</v>
      </c>
      <c r="C19" s="219">
        <v>0</v>
      </c>
      <c r="D19" s="219"/>
      <c r="E19" s="219">
        <v>0</v>
      </c>
      <c r="F19" s="313"/>
      <c r="G19" s="219"/>
      <c r="H19" s="219"/>
      <c r="I19" s="219"/>
    </row>
    <row r="20" spans="1:9" ht="14.1" hidden="1" customHeight="1" x14ac:dyDescent="0.2">
      <c r="A20" s="205"/>
      <c r="B20" s="327" t="s">
        <v>1081</v>
      </c>
      <c r="C20" s="219">
        <v>0</v>
      </c>
      <c r="D20" s="219"/>
      <c r="E20" s="219">
        <v>0</v>
      </c>
      <c r="F20" s="313"/>
      <c r="G20" s="219"/>
      <c r="H20" s="219"/>
      <c r="I20" s="219"/>
    </row>
    <row r="21" spans="1:9" s="244" customFormat="1" ht="14.1" hidden="1" customHeight="1" x14ac:dyDescent="0.2">
      <c r="A21" s="205"/>
      <c r="B21" s="327" t="s">
        <v>1082</v>
      </c>
      <c r="C21" s="219">
        <v>0</v>
      </c>
      <c r="D21" s="219"/>
      <c r="E21" s="219">
        <v>0</v>
      </c>
      <c r="F21" s="313"/>
      <c r="G21" s="219"/>
      <c r="H21" s="219"/>
      <c r="I21" s="219"/>
    </row>
    <row r="22" spans="1:9" s="184" customFormat="1" ht="14.1" hidden="1" customHeight="1" x14ac:dyDescent="0.2">
      <c r="A22" s="205"/>
      <c r="B22" s="327" t="s">
        <v>1083</v>
      </c>
      <c r="C22" s="219">
        <v>0</v>
      </c>
      <c r="D22" s="219"/>
      <c r="E22" s="219">
        <v>0</v>
      </c>
      <c r="F22" s="313"/>
      <c r="G22" s="219"/>
      <c r="H22" s="219"/>
      <c r="I22" s="219"/>
    </row>
    <row r="23" spans="1:9" ht="14.1" hidden="1" customHeight="1" x14ac:dyDescent="0.2">
      <c r="A23" s="205"/>
      <c r="B23" s="327" t="s">
        <v>1085</v>
      </c>
      <c r="C23" s="219">
        <v>0</v>
      </c>
      <c r="D23" s="219"/>
      <c r="E23" s="219">
        <v>0</v>
      </c>
      <c r="F23" s="313"/>
      <c r="G23" s="219"/>
      <c r="H23" s="219"/>
      <c r="I23" s="219"/>
    </row>
    <row r="24" spans="1:9" ht="14.1" hidden="1" customHeight="1" thickBot="1" x14ac:dyDescent="0.25">
      <c r="A24" s="205"/>
      <c r="B24" s="289" t="s">
        <v>1086</v>
      </c>
      <c r="C24" s="206">
        <f>SUM(C17:C23)</f>
        <v>0</v>
      </c>
      <c r="D24" s="219"/>
      <c r="E24" s="206">
        <f>SUM(E17:E23)</f>
        <v>0</v>
      </c>
      <c r="F24" s="313"/>
      <c r="G24" s="206">
        <f>SUM(G17:G23)</f>
        <v>0</v>
      </c>
      <c r="H24" s="219"/>
      <c r="I24" s="206">
        <f>SUM(I17:I23)</f>
        <v>0</v>
      </c>
    </row>
    <row r="25" spans="1:9" s="250" customFormat="1" ht="11.85" hidden="1" customHeight="1" thickTop="1" x14ac:dyDescent="0.2">
      <c r="A25" s="205"/>
      <c r="B25" s="289"/>
      <c r="C25" s="313"/>
      <c r="D25" s="313"/>
      <c r="E25" s="313"/>
      <c r="F25" s="313"/>
      <c r="G25" s="313"/>
      <c r="H25" s="313"/>
      <c r="I25" s="313"/>
    </row>
    <row r="26" spans="1:9" ht="45.75" hidden="1" customHeight="1" x14ac:dyDescent="0.2">
      <c r="A26" s="205"/>
      <c r="B26" s="453" t="s">
        <v>1087</v>
      </c>
      <c r="C26" s="453"/>
      <c r="D26" s="453"/>
      <c r="E26" s="453"/>
      <c r="F26" s="453"/>
      <c r="G26" s="453"/>
      <c r="H26" s="453"/>
      <c r="I26" s="453"/>
    </row>
    <row r="27" spans="1:9" s="250" customFormat="1" ht="10.9" customHeight="1" thickTop="1" x14ac:dyDescent="0.2">
      <c r="A27" s="205"/>
      <c r="B27" s="319"/>
      <c r="C27" s="319"/>
      <c r="D27" s="319"/>
      <c r="E27" s="319"/>
      <c r="F27" s="319"/>
      <c r="G27" s="319"/>
      <c r="H27" s="319"/>
      <c r="I27" s="319"/>
    </row>
    <row r="28" spans="1:9" ht="14.1" customHeight="1" x14ac:dyDescent="0.2">
      <c r="A28" s="205">
        <f>ROUNDDOWN(A3,0)+1</f>
        <v>26</v>
      </c>
      <c r="B28" s="316" t="str">
        <f>"Note "&amp; A28&amp; " Borrowings"</f>
        <v>Note 26 Borrowings</v>
      </c>
      <c r="C28" s="326"/>
      <c r="D28" s="326"/>
      <c r="E28" s="326"/>
      <c r="F28" s="313"/>
      <c r="G28" s="326"/>
      <c r="H28" s="326"/>
      <c r="I28" s="326"/>
    </row>
    <row r="29" spans="1:9" s="224" customFormat="1" ht="10.9" customHeight="1" x14ac:dyDescent="0.2">
      <c r="A29" s="205"/>
      <c r="B29" s="316"/>
      <c r="C29" s="460" t="s">
        <v>500</v>
      </c>
      <c r="D29" s="460"/>
      <c r="E29" s="460"/>
      <c r="F29" s="313"/>
      <c r="G29" s="460" t="s">
        <v>94</v>
      </c>
      <c r="H29" s="460"/>
      <c r="I29" s="460"/>
    </row>
    <row r="30" spans="1:9" ht="25.15" customHeight="1" x14ac:dyDescent="0.2">
      <c r="A30" s="205"/>
      <c r="B30" s="316"/>
      <c r="C30" s="290" t="str">
        <f>TEXT(CurrentYearEnd, "d mmmm yyyy")</f>
        <v>31 March 2022</v>
      </c>
      <c r="D30" s="290"/>
      <c r="E30" s="290" t="str">
        <f>TEXT(ComparativeYearEnd, "d mmmm yyyy")</f>
        <v>31 March 2021</v>
      </c>
      <c r="F30" s="314"/>
      <c r="G30" s="290" t="str">
        <f>TEXT(CurrentYearEnd, "d mmmm yyyy")</f>
        <v>31 March 2022</v>
      </c>
      <c r="H30" s="290"/>
      <c r="I30" s="290" t="str">
        <f>TEXT(ComparativeYearEnd, "d mmmm yyyy")</f>
        <v>31 March 2021</v>
      </c>
    </row>
    <row r="31" spans="1:9" ht="14.1" customHeight="1" x14ac:dyDescent="0.2">
      <c r="A31" s="205"/>
      <c r="B31" s="316"/>
      <c r="C31" s="290" t="s">
        <v>590</v>
      </c>
      <c r="D31" s="290"/>
      <c r="E31" s="290" t="s">
        <v>590</v>
      </c>
      <c r="F31" s="314"/>
      <c r="G31" s="290" t="s">
        <v>590</v>
      </c>
      <c r="H31" s="290"/>
      <c r="I31" s="290" t="s">
        <v>590</v>
      </c>
    </row>
    <row r="32" spans="1:9" ht="14.1" customHeight="1" x14ac:dyDescent="0.2">
      <c r="A32" s="205"/>
      <c r="B32" s="316" t="s">
        <v>1062</v>
      </c>
      <c r="C32" s="218"/>
      <c r="D32" s="218"/>
      <c r="E32" s="218"/>
      <c r="F32" s="190"/>
      <c r="G32" s="218"/>
      <c r="H32" s="218"/>
      <c r="I32" s="218"/>
    </row>
    <row r="33" spans="1:9" ht="14.1" hidden="1" customHeight="1" x14ac:dyDescent="0.2">
      <c r="A33" s="205"/>
      <c r="B33" s="327" t="s">
        <v>1088</v>
      </c>
      <c r="C33" s="219">
        <v>0</v>
      </c>
      <c r="D33" s="219"/>
      <c r="E33" s="219">
        <v>0</v>
      </c>
      <c r="F33" s="219"/>
      <c r="G33" s="219"/>
      <c r="H33" s="219"/>
      <c r="I33" s="219"/>
    </row>
    <row r="34" spans="1:9" ht="14.1" hidden="1" customHeight="1" x14ac:dyDescent="0.2">
      <c r="A34" s="205"/>
      <c r="B34" s="327" t="s">
        <v>1056</v>
      </c>
      <c r="C34" s="219">
        <v>0</v>
      </c>
      <c r="D34" s="219"/>
      <c r="E34" s="219">
        <v>0</v>
      </c>
      <c r="F34" s="219"/>
      <c r="G34" s="219"/>
      <c r="H34" s="219"/>
      <c r="I34" s="219"/>
    </row>
    <row r="35" spans="1:9" ht="14.1" customHeight="1" x14ac:dyDescent="0.2">
      <c r="A35" s="205"/>
      <c r="B35" s="327" t="s">
        <v>1089</v>
      </c>
      <c r="C35" s="219">
        <v>1893</v>
      </c>
      <c r="D35" s="219"/>
      <c r="E35" s="219">
        <v>1893</v>
      </c>
      <c r="F35" s="219"/>
      <c r="G35" s="219">
        <f>+C35</f>
        <v>1893</v>
      </c>
      <c r="H35" s="219"/>
      <c r="I35" s="219">
        <f>+E35</f>
        <v>1893</v>
      </c>
    </row>
    <row r="36" spans="1:9" ht="14.1" hidden="1" customHeight="1" x14ac:dyDescent="0.2">
      <c r="A36" s="205"/>
      <c r="B36" s="327" t="s">
        <v>925</v>
      </c>
      <c r="C36" s="219">
        <v>0</v>
      </c>
      <c r="D36" s="219"/>
      <c r="E36" s="219">
        <v>0</v>
      </c>
      <c r="F36" s="219"/>
      <c r="G36" s="219"/>
      <c r="H36" s="219"/>
      <c r="I36" s="219"/>
    </row>
    <row r="37" spans="1:9" ht="14.1" hidden="1" customHeight="1" x14ac:dyDescent="0.2">
      <c r="A37" s="205"/>
      <c r="B37" s="327" t="s">
        <v>1090</v>
      </c>
      <c r="C37" s="219">
        <v>0</v>
      </c>
      <c r="D37" s="219"/>
      <c r="E37" s="219">
        <v>0</v>
      </c>
      <c r="F37" s="219"/>
      <c r="G37" s="219"/>
      <c r="H37" s="219"/>
      <c r="I37" s="219"/>
    </row>
    <row r="38" spans="1:9" ht="24" hidden="1" x14ac:dyDescent="0.2">
      <c r="A38" s="205"/>
      <c r="B38" s="327" t="s">
        <v>1091</v>
      </c>
      <c r="C38" s="219">
        <v>0</v>
      </c>
      <c r="D38" s="219"/>
      <c r="E38" s="219">
        <v>0</v>
      </c>
      <c r="F38" s="219"/>
      <c r="G38" s="219"/>
      <c r="H38" s="219"/>
      <c r="I38" s="219"/>
    </row>
    <row r="39" spans="1:9" s="184" customFormat="1" ht="13.7" hidden="1" customHeight="1" x14ac:dyDescent="0.2">
      <c r="A39" s="205"/>
      <c r="B39" s="327" t="s">
        <v>1092</v>
      </c>
      <c r="C39" s="219">
        <v>0</v>
      </c>
      <c r="D39" s="219"/>
      <c r="E39" s="219">
        <v>0</v>
      </c>
      <c r="F39" s="219"/>
      <c r="G39" s="219"/>
      <c r="H39" s="219"/>
      <c r="I39" s="219"/>
    </row>
    <row r="40" spans="1:9" ht="14.1" customHeight="1" thickBot="1" x14ac:dyDescent="0.25">
      <c r="A40" s="205"/>
      <c r="B40" s="289" t="s">
        <v>1093</v>
      </c>
      <c r="C40" s="206">
        <f>SUM(C33:C39)</f>
        <v>1893</v>
      </c>
      <c r="D40" s="219"/>
      <c r="E40" s="206">
        <f>SUM(E33:E39)</f>
        <v>1893</v>
      </c>
      <c r="F40" s="47"/>
      <c r="G40" s="206">
        <f>SUM(G33:G39)</f>
        <v>1893</v>
      </c>
      <c r="H40" s="219"/>
      <c r="I40" s="206">
        <f>SUM(I33:I39)</f>
        <v>1893</v>
      </c>
    </row>
    <row r="41" spans="1:9" ht="6.6" customHeight="1" thickTop="1" x14ac:dyDescent="0.2">
      <c r="A41" s="205"/>
      <c r="B41" s="313"/>
      <c r="C41" s="199"/>
      <c r="D41" s="219"/>
      <c r="E41" s="199"/>
      <c r="F41" s="190"/>
      <c r="G41" s="199"/>
      <c r="H41" s="219"/>
      <c r="I41" s="199"/>
    </row>
    <row r="42" spans="1:9" ht="14.1" customHeight="1" x14ac:dyDescent="0.2">
      <c r="A42" s="205"/>
      <c r="B42" s="316" t="s">
        <v>1030</v>
      </c>
      <c r="C42" s="218"/>
      <c r="D42" s="219"/>
      <c r="E42" s="218"/>
      <c r="F42" s="54"/>
      <c r="G42" s="218"/>
      <c r="H42" s="219"/>
      <c r="I42" s="218"/>
    </row>
    <row r="43" spans="1:9" ht="14.1" customHeight="1" x14ac:dyDescent="0.2">
      <c r="A43" s="205"/>
      <c r="B43" s="327" t="s">
        <v>1089</v>
      </c>
      <c r="C43" s="219">
        <v>30084</v>
      </c>
      <c r="D43" s="219"/>
      <c r="E43" s="219">
        <v>31908</v>
      </c>
      <c r="F43" s="190"/>
      <c r="G43" s="219">
        <f>+C43</f>
        <v>30084</v>
      </c>
      <c r="H43" s="219"/>
      <c r="I43" s="219">
        <f>+E43</f>
        <v>31908</v>
      </c>
    </row>
    <row r="44" spans="1:9" ht="14.1" hidden="1" customHeight="1" x14ac:dyDescent="0.2">
      <c r="A44" s="205"/>
      <c r="B44" s="327" t="s">
        <v>925</v>
      </c>
      <c r="C44" s="219">
        <v>0</v>
      </c>
      <c r="D44" s="219"/>
      <c r="E44" s="219">
        <v>0</v>
      </c>
      <c r="F44" s="190"/>
      <c r="G44" s="219"/>
      <c r="H44" s="219"/>
      <c r="I44" s="219"/>
    </row>
    <row r="45" spans="1:9" ht="14.1" hidden="1" customHeight="1" x14ac:dyDescent="0.2">
      <c r="A45" s="205"/>
      <c r="B45" s="327" t="s">
        <v>1090</v>
      </c>
      <c r="C45" s="219">
        <v>0</v>
      </c>
      <c r="D45" s="219"/>
      <c r="E45" s="219">
        <v>0</v>
      </c>
      <c r="F45" s="190"/>
      <c r="G45" s="219"/>
      <c r="H45" s="219"/>
      <c r="I45" s="219"/>
    </row>
    <row r="46" spans="1:9" ht="24" hidden="1" customHeight="1" x14ac:dyDescent="0.2">
      <c r="A46" s="205"/>
      <c r="B46" s="327" t="s">
        <v>1094</v>
      </c>
      <c r="C46" s="219">
        <v>0</v>
      </c>
      <c r="D46" s="219"/>
      <c r="E46" s="219">
        <v>0</v>
      </c>
      <c r="F46" s="190"/>
      <c r="G46" s="219"/>
      <c r="H46" s="219"/>
      <c r="I46" s="219"/>
    </row>
    <row r="47" spans="1:9" s="184" customFormat="1" ht="13.7" hidden="1" customHeight="1" x14ac:dyDescent="0.2">
      <c r="A47" s="205"/>
      <c r="B47" s="327" t="s">
        <v>1092</v>
      </c>
      <c r="C47" s="219">
        <v>0</v>
      </c>
      <c r="D47" s="219"/>
      <c r="E47" s="219">
        <v>0</v>
      </c>
      <c r="F47" s="190"/>
      <c r="G47" s="219"/>
      <c r="H47" s="219"/>
      <c r="I47" s="219"/>
    </row>
    <row r="48" spans="1:9" ht="14.1" customHeight="1" thickBot="1" x14ac:dyDescent="0.25">
      <c r="A48" s="205"/>
      <c r="B48" s="289" t="s">
        <v>1095</v>
      </c>
      <c r="C48" s="206">
        <f>SUM(C43:C47)</f>
        <v>30084</v>
      </c>
      <c r="D48" s="219"/>
      <c r="E48" s="206">
        <f>SUM(E43:E47)</f>
        <v>31908</v>
      </c>
      <c r="F48" s="47"/>
      <c r="G48" s="206">
        <f>SUM(G43:G47)</f>
        <v>30084</v>
      </c>
      <c r="H48" s="219"/>
      <c r="I48" s="206">
        <f>SUM(I43:I47)</f>
        <v>31908</v>
      </c>
    </row>
    <row r="49" spans="1:9" ht="14.1" customHeight="1" thickTop="1" x14ac:dyDescent="0.2">
      <c r="A49" s="205"/>
      <c r="B49" s="316"/>
      <c r="C49" s="313"/>
      <c r="D49" s="219"/>
      <c r="E49" s="313"/>
      <c r="F49" s="314"/>
      <c r="G49" s="313"/>
      <c r="H49" s="219"/>
      <c r="I49" s="313"/>
    </row>
    <row r="50" spans="1:9" ht="14.1" customHeight="1" x14ac:dyDescent="0.2">
      <c r="A50" s="205"/>
      <c r="B50" s="316"/>
      <c r="C50" s="313"/>
      <c r="D50" s="313"/>
      <c r="E50" s="313"/>
      <c r="F50" s="314"/>
      <c r="G50" s="313"/>
      <c r="H50" s="313"/>
      <c r="I50" s="313"/>
    </row>
    <row r="53" spans="1:9" ht="14.1" customHeight="1" x14ac:dyDescent="0.2">
      <c r="A53" s="313"/>
      <c r="B53" s="313"/>
      <c r="C53" s="313"/>
      <c r="D53" s="313"/>
      <c r="E53" s="313"/>
      <c r="F53" s="313"/>
      <c r="G53" s="313"/>
      <c r="H53" s="313"/>
      <c r="I53" s="313"/>
    </row>
    <row r="54" spans="1:9" ht="14.1" customHeight="1" x14ac:dyDescent="0.2">
      <c r="A54" s="313"/>
      <c r="B54" s="313"/>
      <c r="C54" s="313"/>
      <c r="D54" s="313"/>
      <c r="E54" s="313"/>
      <c r="F54" s="313"/>
      <c r="G54" s="313"/>
      <c r="H54" s="313"/>
      <c r="I54" s="313"/>
    </row>
    <row r="55" spans="1:9" ht="14.1" customHeight="1" x14ac:dyDescent="0.2">
      <c r="A55" s="313"/>
      <c r="B55" s="313"/>
      <c r="C55" s="313"/>
      <c r="D55" s="313"/>
      <c r="E55" s="313"/>
      <c r="F55" s="313"/>
      <c r="G55" s="313"/>
      <c r="H55" s="313"/>
      <c r="I55" s="313"/>
    </row>
    <row r="56" spans="1:9" ht="14.1" customHeight="1" x14ac:dyDescent="0.2">
      <c r="A56" s="313"/>
      <c r="B56" s="313"/>
      <c r="C56" s="313"/>
      <c r="D56" s="313"/>
      <c r="E56" s="313"/>
      <c r="F56" s="313"/>
      <c r="G56" s="313"/>
      <c r="H56" s="313"/>
      <c r="I56" s="313"/>
    </row>
    <row r="57" spans="1:9" ht="14.1" customHeight="1" x14ac:dyDescent="0.2">
      <c r="A57" s="313"/>
      <c r="B57" s="313"/>
      <c r="C57" s="313"/>
      <c r="D57" s="313"/>
      <c r="E57" s="313"/>
      <c r="F57" s="313"/>
      <c r="G57" s="313"/>
      <c r="H57" s="313"/>
      <c r="I57" s="313"/>
    </row>
    <row r="58" spans="1:9" ht="14.1" customHeight="1" x14ac:dyDescent="0.2">
      <c r="A58" s="313"/>
      <c r="B58" s="313"/>
      <c r="C58" s="313"/>
      <c r="D58" s="313"/>
      <c r="E58" s="313"/>
      <c r="F58" s="313"/>
      <c r="G58" s="313"/>
      <c r="H58" s="313"/>
      <c r="I58" s="313"/>
    </row>
    <row r="59" spans="1:9" ht="14.1" customHeight="1" x14ac:dyDescent="0.2">
      <c r="A59" s="313"/>
      <c r="B59" s="313"/>
      <c r="C59" s="313"/>
      <c r="D59" s="313"/>
      <c r="E59" s="313"/>
      <c r="F59" s="313"/>
      <c r="G59" s="313"/>
      <c r="H59" s="313"/>
      <c r="I59" s="313"/>
    </row>
    <row r="60" spans="1:9" ht="14.1" customHeight="1" x14ac:dyDescent="0.2">
      <c r="A60" s="313"/>
      <c r="B60" s="313"/>
      <c r="C60" s="313"/>
      <c r="D60" s="313"/>
      <c r="E60" s="313"/>
      <c r="F60" s="313"/>
      <c r="G60" s="313"/>
      <c r="H60" s="313"/>
      <c r="I60" s="313"/>
    </row>
    <row r="65" spans="1:9" ht="14.1" customHeight="1" x14ac:dyDescent="0.2">
      <c r="A65" s="313"/>
      <c r="B65" s="313"/>
      <c r="C65" s="313"/>
      <c r="D65" s="313"/>
      <c r="E65" s="313"/>
      <c r="F65" s="313"/>
      <c r="G65" s="313"/>
      <c r="H65" s="313"/>
      <c r="I65" s="313"/>
    </row>
    <row r="66" spans="1:9" ht="14.1" customHeight="1" x14ac:dyDescent="0.2">
      <c r="A66" s="313"/>
      <c r="B66" s="313"/>
      <c r="C66" s="313"/>
      <c r="D66" s="313"/>
      <c r="E66" s="313"/>
      <c r="F66" s="313"/>
      <c r="G66" s="313"/>
      <c r="H66" s="313"/>
      <c r="I66" s="313"/>
    </row>
    <row r="67" spans="1:9" ht="14.1" customHeight="1" x14ac:dyDescent="0.2">
      <c r="A67" s="313"/>
      <c r="B67" s="313"/>
      <c r="C67" s="313"/>
      <c r="D67" s="313"/>
      <c r="E67" s="313"/>
      <c r="F67" s="313"/>
      <c r="G67" s="313"/>
      <c r="H67" s="313"/>
      <c r="I67" s="313"/>
    </row>
  </sheetData>
  <customSheetViews>
    <customSheetView guid="{EDC1BD6E-863A-4FC6-A3A9-F32079F4F0C1}" topLeftCell="A37">
      <selection activeCell="N66" sqref="N66"/>
      <pageMargins left="0" right="0" top="0" bottom="0" header="0" footer="0"/>
      <pageSetup paperSize="9" orientation="portrait" verticalDpi="0" r:id="rId1"/>
    </customSheetView>
  </customSheetViews>
  <mergeCells count="5">
    <mergeCell ref="C29:E29"/>
    <mergeCell ref="G29:I29"/>
    <mergeCell ref="C4:E4"/>
    <mergeCell ref="G4:I4"/>
    <mergeCell ref="B26:I26"/>
  </mergeCells>
  <pageMargins left="0.70866141732283472" right="0.70866141732283472" top="0.74803149606299213" bottom="0.74803149606299213" header="0.31496062992125984" footer="0.31496062992125984"/>
  <pageSetup paperSize="9" fitToHeight="0" orientation="portrait" verticalDpi="0" r:id="rId2"/>
  <headerFooter>
    <oddFooter>&amp;RPage &amp;P of &amp;N</oddFooter>
  </headerFooter>
  <ignoredErrors>
    <ignoredError sqref="B6:I7 B14:I16 B8 D8 F8:I8 B9 D9 F9:I9 B10 D10 F10:I10 B11 D11 F11:I11 B12 D12 F12:I12 B13 D13 F13:I13 B24:I31 B17 D17 F17:I17 B18 D18 F18:I18 B19 D19 F19:I19 B20 D20 F20:I20 B21 D21 F21:I21 B22 D22 F22:I22 B23 D23 F23:I23"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E46C4-F9ED-452F-8D60-FD70920767D8}">
  <sheetPr codeName="Sheet57">
    <pageSetUpPr fitToPage="1"/>
  </sheetPr>
  <dimension ref="A1:Q73"/>
  <sheetViews>
    <sheetView showGridLines="0" zoomScaleNormal="100" workbookViewId="0">
      <selection activeCell="N6" sqref="N6"/>
    </sheetView>
  </sheetViews>
  <sheetFormatPr defaultColWidth="9.140625" defaultRowHeight="14.1" customHeight="1" x14ac:dyDescent="0.2"/>
  <cols>
    <col min="1" max="1" width="0.7109375" style="205" customWidth="1"/>
    <col min="2" max="2" width="74.140625" style="247" customWidth="1"/>
    <col min="3" max="3" width="9" style="247" customWidth="1"/>
    <col min="4" max="7" width="9" style="247" hidden="1" customWidth="1"/>
    <col min="8" max="16384" width="9.140625" style="247"/>
  </cols>
  <sheetData>
    <row r="1" spans="1:17" s="313" customFormat="1" ht="14.1" customHeight="1" x14ac:dyDescent="0.2">
      <c r="A1" s="350" t="s">
        <v>1310</v>
      </c>
      <c r="B1" s="351"/>
      <c r="C1" s="351"/>
      <c r="D1" s="351"/>
      <c r="E1" s="351"/>
      <c r="F1" s="351"/>
      <c r="G1" s="351"/>
    </row>
    <row r="2" spans="1:17" s="313" customFormat="1" ht="14.1" customHeight="1" x14ac:dyDescent="0.2">
      <c r="A2" s="205"/>
    </row>
    <row r="3" spans="1:17" ht="14.1" customHeight="1" x14ac:dyDescent="0.2">
      <c r="A3" s="205">
        <f>'OL &amp; Borrowings'!A28+0.1</f>
        <v>26.1</v>
      </c>
      <c r="B3" s="289" t="str">
        <f>"Note "&amp; A3&amp; " Reconciliation of liabilities arising from financing activities (Group and Trust)"</f>
        <v>Note 26.1 Reconciliation of liabilities arising from financing activities (Group and Trust)</v>
      </c>
      <c r="C3" s="248"/>
      <c r="D3" s="114"/>
      <c r="E3" s="249"/>
      <c r="F3" s="249"/>
      <c r="G3" s="314"/>
      <c r="H3" s="272"/>
      <c r="I3" s="272"/>
      <c r="J3" s="272"/>
      <c r="K3" s="272"/>
      <c r="L3" s="272"/>
      <c r="M3" s="272"/>
      <c r="N3" s="272"/>
      <c r="O3" s="272"/>
      <c r="P3" s="272"/>
      <c r="Q3" s="272"/>
    </row>
    <row r="4" spans="1:17" s="287" customFormat="1" ht="14.1" customHeight="1" x14ac:dyDescent="0.2">
      <c r="A4" s="205"/>
      <c r="B4" s="289"/>
      <c r="C4" s="248"/>
      <c r="D4" s="114"/>
      <c r="E4" s="249"/>
      <c r="F4" s="249"/>
      <c r="G4" s="314"/>
      <c r="H4" s="272"/>
      <c r="I4" s="272"/>
      <c r="J4" s="272"/>
      <c r="K4" s="272"/>
      <c r="L4" s="272"/>
      <c r="M4" s="272"/>
      <c r="N4" s="272"/>
      <c r="O4" s="272"/>
      <c r="P4" s="272"/>
      <c r="Q4" s="272"/>
    </row>
    <row r="5" spans="1:17" ht="36" x14ac:dyDescent="0.2">
      <c r="B5" s="316" t="str">
        <f>"Group and Trust- "&amp;CurrentFY</f>
        <v>Group and Trust- 2021/22</v>
      </c>
      <c r="C5" s="290" t="s">
        <v>1089</v>
      </c>
      <c r="D5" s="290" t="s">
        <v>925</v>
      </c>
      <c r="E5" s="290" t="s">
        <v>1096</v>
      </c>
      <c r="F5" s="290" t="s">
        <v>1097</v>
      </c>
      <c r="G5" s="290" t="s">
        <v>589</v>
      </c>
      <c r="H5" s="273"/>
      <c r="I5" s="272"/>
      <c r="J5" s="272"/>
      <c r="K5" s="272"/>
      <c r="L5" s="272"/>
      <c r="M5" s="272"/>
      <c r="N5" s="272"/>
      <c r="O5" s="272"/>
      <c r="P5" s="272"/>
      <c r="Q5" s="272"/>
    </row>
    <row r="6" spans="1:17" ht="14.1" customHeight="1" x14ac:dyDescent="0.2">
      <c r="B6" s="316"/>
      <c r="C6" s="290" t="s">
        <v>590</v>
      </c>
      <c r="D6" s="290" t="s">
        <v>590</v>
      </c>
      <c r="E6" s="290" t="s">
        <v>590</v>
      </c>
      <c r="F6" s="290" t="s">
        <v>590</v>
      </c>
      <c r="G6" s="290" t="s">
        <v>590</v>
      </c>
      <c r="H6" s="272"/>
      <c r="I6" s="272"/>
      <c r="J6" s="272"/>
      <c r="K6" s="272"/>
      <c r="L6" s="272"/>
      <c r="M6" s="272"/>
      <c r="N6" s="272"/>
      <c r="O6" s="272"/>
      <c r="P6" s="272"/>
      <c r="Q6" s="272"/>
    </row>
    <row r="7" spans="1:17" ht="14.1" customHeight="1" x14ac:dyDescent="0.2">
      <c r="B7" s="316" t="str">
        <f>"Carrying value at " &amp; TEXT(CurrentYearStart,"d mmmm yyyy")</f>
        <v>Carrying value at 1 April 2021</v>
      </c>
      <c r="C7" s="220">
        <f>C40</f>
        <v>33800.605839999997</v>
      </c>
      <c r="D7" s="220">
        <f>D40</f>
        <v>0</v>
      </c>
      <c r="E7" s="220">
        <f>E40</f>
        <v>0</v>
      </c>
      <c r="F7" s="220">
        <f>F40</f>
        <v>0</v>
      </c>
      <c r="G7" s="220">
        <f>SUM(C7:F7)</f>
        <v>33800.605839999997</v>
      </c>
      <c r="H7" s="314"/>
      <c r="I7" s="314"/>
      <c r="J7" s="314"/>
      <c r="K7" s="314"/>
      <c r="L7" s="314"/>
      <c r="M7" s="314"/>
      <c r="N7" s="313"/>
      <c r="O7" s="313"/>
      <c r="P7" s="313"/>
      <c r="Q7" s="313"/>
    </row>
    <row r="8" spans="1:17" ht="14.1" hidden="1" customHeight="1" x14ac:dyDescent="0.2">
      <c r="B8" s="229" t="s">
        <v>977</v>
      </c>
      <c r="C8" s="220">
        <v>0</v>
      </c>
      <c r="D8" s="220">
        <v>0</v>
      </c>
      <c r="E8" s="220">
        <v>0</v>
      </c>
      <c r="F8" s="220">
        <v>0</v>
      </c>
      <c r="G8" s="220">
        <f>SUM(C8:F8)</f>
        <v>0</v>
      </c>
      <c r="H8" s="314"/>
      <c r="I8" s="270" t="s">
        <v>592</v>
      </c>
      <c r="J8" s="314"/>
      <c r="K8" s="314"/>
      <c r="L8" s="314"/>
      <c r="M8" s="314"/>
      <c r="N8" s="313"/>
      <c r="O8" s="313"/>
      <c r="P8" s="313"/>
      <c r="Q8" s="313"/>
    </row>
    <row r="9" spans="1:17" ht="13.7" customHeight="1" x14ac:dyDescent="0.2">
      <c r="B9" s="316" t="s">
        <v>1098</v>
      </c>
      <c r="C9" s="219"/>
      <c r="D9" s="219"/>
      <c r="E9" s="219"/>
      <c r="F9" s="219"/>
      <c r="G9" s="220"/>
      <c r="H9" s="314"/>
      <c r="I9" s="314"/>
      <c r="J9" s="314"/>
      <c r="K9" s="314"/>
      <c r="L9" s="314"/>
      <c r="M9" s="314"/>
      <c r="N9" s="313"/>
      <c r="O9" s="313"/>
      <c r="P9" s="313"/>
      <c r="Q9" s="313"/>
    </row>
    <row r="10" spans="1:17" ht="24.6" customHeight="1" x14ac:dyDescent="0.2">
      <c r="B10" s="327" t="s">
        <v>1099</v>
      </c>
      <c r="C10" s="219">
        <v>-1823</v>
      </c>
      <c r="D10" s="219">
        <v>0</v>
      </c>
      <c r="E10" s="219">
        <v>0</v>
      </c>
      <c r="F10" s="219">
        <v>0</v>
      </c>
      <c r="G10" s="220">
        <f>SUM(C10:F10)</f>
        <v>-1823</v>
      </c>
      <c r="H10" s="313"/>
      <c r="I10" s="313"/>
      <c r="J10" s="313"/>
      <c r="K10" s="313"/>
      <c r="L10" s="313"/>
      <c r="M10" s="313"/>
      <c r="N10" s="313"/>
      <c r="O10" s="313"/>
      <c r="P10" s="313"/>
      <c r="Q10" s="313"/>
    </row>
    <row r="11" spans="1:17" ht="14.1" customHeight="1" x14ac:dyDescent="0.2">
      <c r="B11" s="327" t="s">
        <v>1100</v>
      </c>
      <c r="C11" s="219">
        <v>-974</v>
      </c>
      <c r="D11" s="219">
        <v>0</v>
      </c>
      <c r="E11" s="219">
        <v>0</v>
      </c>
      <c r="F11" s="219">
        <v>0</v>
      </c>
      <c r="G11" s="220">
        <f>SUM(C11:F11)</f>
        <v>-974</v>
      </c>
      <c r="H11" s="313"/>
      <c r="I11" s="313"/>
      <c r="J11" s="313"/>
      <c r="K11" s="313"/>
      <c r="L11" s="313"/>
      <c r="M11" s="313"/>
      <c r="N11" s="313"/>
      <c r="O11" s="313"/>
      <c r="P11" s="313"/>
      <c r="Q11" s="313"/>
    </row>
    <row r="12" spans="1:17" ht="13.7" customHeight="1" x14ac:dyDescent="0.2">
      <c r="B12" s="316" t="s">
        <v>1101</v>
      </c>
      <c r="C12" s="219"/>
      <c r="D12" s="219"/>
      <c r="E12" s="219"/>
      <c r="F12" s="219"/>
      <c r="G12" s="220"/>
      <c r="H12" s="313"/>
      <c r="I12" s="313"/>
      <c r="J12" s="313"/>
      <c r="K12" s="313"/>
      <c r="L12" s="313"/>
      <c r="M12" s="313"/>
      <c r="N12" s="313"/>
      <c r="O12" s="313"/>
      <c r="P12" s="313"/>
      <c r="Q12" s="313"/>
    </row>
    <row r="13" spans="1:17" ht="13.7" hidden="1" customHeight="1" x14ac:dyDescent="0.2">
      <c r="B13" s="327" t="s">
        <v>962</v>
      </c>
      <c r="C13" s="219">
        <v>0</v>
      </c>
      <c r="D13" s="219">
        <v>0</v>
      </c>
      <c r="E13" s="219">
        <v>0</v>
      </c>
      <c r="F13" s="219">
        <v>0</v>
      </c>
      <c r="G13" s="220">
        <f t="shared" ref="G13:G19" si="0">SUM(C13:F13)</f>
        <v>0</v>
      </c>
      <c r="H13" s="313"/>
      <c r="I13" s="313"/>
      <c r="J13" s="313"/>
      <c r="K13" s="313"/>
      <c r="L13" s="313"/>
      <c r="M13" s="313"/>
      <c r="N13" s="313"/>
      <c r="O13" s="313"/>
      <c r="P13" s="313"/>
      <c r="Q13" s="313"/>
    </row>
    <row r="14" spans="1:17" ht="13.7" hidden="1" customHeight="1" x14ac:dyDescent="0.2">
      <c r="B14" s="327" t="s">
        <v>956</v>
      </c>
      <c r="C14" s="219">
        <v>0</v>
      </c>
      <c r="D14" s="219">
        <v>0</v>
      </c>
      <c r="E14" s="219">
        <v>0</v>
      </c>
      <c r="F14" s="219">
        <v>0</v>
      </c>
      <c r="G14" s="220">
        <f t="shared" si="0"/>
        <v>0</v>
      </c>
      <c r="H14" s="313"/>
      <c r="I14" s="313"/>
      <c r="J14" s="313"/>
      <c r="K14" s="313"/>
      <c r="L14" s="313"/>
      <c r="M14" s="313"/>
      <c r="N14" s="313"/>
      <c r="O14" s="313"/>
      <c r="P14" s="313"/>
      <c r="Q14" s="313"/>
    </row>
    <row r="15" spans="1:17" ht="13.7" customHeight="1" x14ac:dyDescent="0.2">
      <c r="B15" s="327" t="s">
        <v>1102</v>
      </c>
      <c r="C15" s="219">
        <v>973</v>
      </c>
      <c r="D15" s="219">
        <v>0</v>
      </c>
      <c r="E15" s="219">
        <v>0</v>
      </c>
      <c r="F15" s="219">
        <v>0</v>
      </c>
      <c r="G15" s="220">
        <f t="shared" si="0"/>
        <v>973</v>
      </c>
      <c r="H15" s="313"/>
      <c r="I15" s="313"/>
      <c r="J15" s="313"/>
      <c r="K15" s="313"/>
      <c r="L15" s="313"/>
      <c r="M15" s="313"/>
      <c r="N15" s="313"/>
      <c r="O15" s="313"/>
      <c r="P15" s="313"/>
      <c r="Q15" s="313"/>
    </row>
    <row r="16" spans="1:17" ht="13.7" hidden="1" customHeight="1" x14ac:dyDescent="0.2">
      <c r="B16" s="327" t="s">
        <v>1103</v>
      </c>
      <c r="C16" s="219">
        <v>0</v>
      </c>
      <c r="D16" s="219">
        <v>0</v>
      </c>
      <c r="E16" s="219">
        <v>0</v>
      </c>
      <c r="F16" s="219">
        <v>0</v>
      </c>
      <c r="G16" s="220">
        <f t="shared" si="0"/>
        <v>0</v>
      </c>
      <c r="H16" s="313"/>
      <c r="I16" s="313"/>
      <c r="J16" s="313"/>
      <c r="K16" s="313"/>
      <c r="L16" s="313"/>
      <c r="M16" s="313"/>
      <c r="N16" s="313"/>
      <c r="O16" s="313"/>
      <c r="P16" s="313"/>
      <c r="Q16" s="313"/>
    </row>
    <row r="17" spans="1:17" ht="13.7" hidden="1" customHeight="1" x14ac:dyDescent="0.2">
      <c r="B17" s="327" t="s">
        <v>1104</v>
      </c>
      <c r="C17" s="219">
        <v>0</v>
      </c>
      <c r="D17" s="219">
        <v>0</v>
      </c>
      <c r="E17" s="219">
        <v>0</v>
      </c>
      <c r="F17" s="219">
        <v>0</v>
      </c>
      <c r="G17" s="220">
        <f t="shared" si="0"/>
        <v>0</v>
      </c>
      <c r="H17" s="313"/>
      <c r="I17" s="313"/>
      <c r="J17" s="313"/>
      <c r="K17" s="313"/>
      <c r="L17" s="313"/>
      <c r="M17" s="313"/>
      <c r="N17" s="313"/>
      <c r="O17" s="313"/>
      <c r="P17" s="313"/>
      <c r="Q17" s="313"/>
    </row>
    <row r="18" spans="1:17" s="287" customFormat="1" ht="13.7" hidden="1" customHeight="1" x14ac:dyDescent="0.2">
      <c r="A18" s="205"/>
      <c r="B18" s="327" t="s">
        <v>1105</v>
      </c>
      <c r="C18" s="219">
        <v>0</v>
      </c>
      <c r="D18" s="219">
        <v>0</v>
      </c>
      <c r="E18" s="219">
        <v>0</v>
      </c>
      <c r="F18" s="219">
        <v>0</v>
      </c>
      <c r="G18" s="220">
        <f t="shared" si="0"/>
        <v>0</v>
      </c>
      <c r="H18" s="313"/>
      <c r="I18" s="313"/>
      <c r="J18" s="313"/>
      <c r="K18" s="313"/>
      <c r="L18" s="313"/>
      <c r="M18" s="313"/>
      <c r="N18" s="313"/>
      <c r="O18" s="313"/>
      <c r="P18" s="313"/>
      <c r="Q18" s="313"/>
    </row>
    <row r="19" spans="1:17" ht="13.7" hidden="1" customHeight="1" x14ac:dyDescent="0.2">
      <c r="B19" s="327" t="s">
        <v>1106</v>
      </c>
      <c r="C19" s="219">
        <v>0</v>
      </c>
      <c r="D19" s="219">
        <v>0</v>
      </c>
      <c r="E19" s="219">
        <v>0</v>
      </c>
      <c r="F19" s="219">
        <v>0</v>
      </c>
      <c r="G19" s="220">
        <f t="shared" si="0"/>
        <v>0</v>
      </c>
      <c r="H19" s="329"/>
      <c r="I19" s="313"/>
    </row>
    <row r="20" spans="1:17" ht="14.1" customHeight="1" thickBot="1" x14ac:dyDescent="0.25">
      <c r="B20" s="316" t="str">
        <f>"Carrying value at " &amp; TEXT(CurrentYearEnd,"d mmmm yyyy")</f>
        <v>Carrying value at 31 March 2022</v>
      </c>
      <c r="C20" s="206">
        <f>SUM(C7:C19)</f>
        <v>31976.605839999997</v>
      </c>
      <c r="D20" s="206">
        <f>SUM(D7:D19)</f>
        <v>0</v>
      </c>
      <c r="E20" s="206">
        <f>SUM(E7:E19)</f>
        <v>0</v>
      </c>
      <c r="F20" s="206">
        <f>SUM(F7:F19)</f>
        <v>0</v>
      </c>
      <c r="G20" s="206">
        <f>SUM(G7:G19)</f>
        <v>31976.605839999997</v>
      </c>
      <c r="H20" s="313"/>
      <c r="I20" s="313"/>
    </row>
    <row r="21" spans="1:17" ht="14.1" customHeight="1" thickTop="1" x14ac:dyDescent="0.2">
      <c r="B21" s="313"/>
      <c r="C21" s="313"/>
      <c r="D21" s="313"/>
      <c r="E21" s="313"/>
      <c r="F21" s="313"/>
      <c r="G21" s="313"/>
      <c r="H21" s="313"/>
      <c r="I21" s="313"/>
    </row>
    <row r="22" spans="1:17" s="287" customFormat="1" ht="14.1" customHeight="1" x14ac:dyDescent="0.2">
      <c r="A22" s="205"/>
      <c r="B22" s="313"/>
      <c r="C22" s="313"/>
      <c r="D22" s="313"/>
      <c r="E22" s="313"/>
      <c r="F22" s="313"/>
      <c r="G22" s="313"/>
      <c r="H22" s="313"/>
      <c r="I22" s="313"/>
    </row>
    <row r="23" spans="1:17" ht="36" x14ac:dyDescent="0.2">
      <c r="B23" s="316" t="str">
        <f>"Group and Trust- "&amp;ComparativeFY</f>
        <v>Group and Trust- 2020/21</v>
      </c>
      <c r="C23" s="290" t="s">
        <v>1089</v>
      </c>
      <c r="D23" s="290" t="s">
        <v>925</v>
      </c>
      <c r="E23" s="290" t="s">
        <v>1096</v>
      </c>
      <c r="F23" s="290" t="s">
        <v>1097</v>
      </c>
      <c r="G23" s="290" t="s">
        <v>589</v>
      </c>
      <c r="H23" s="313"/>
      <c r="I23" s="313"/>
    </row>
    <row r="24" spans="1:17" ht="14.1" customHeight="1" x14ac:dyDescent="0.2">
      <c r="B24" s="316"/>
      <c r="C24" s="290" t="s">
        <v>590</v>
      </c>
      <c r="D24" s="290" t="s">
        <v>590</v>
      </c>
      <c r="E24" s="290" t="s">
        <v>590</v>
      </c>
      <c r="F24" s="290" t="s">
        <v>590</v>
      </c>
      <c r="G24" s="290" t="s">
        <v>590</v>
      </c>
      <c r="H24" s="313"/>
      <c r="I24" s="313"/>
    </row>
    <row r="25" spans="1:17" ht="14.1" customHeight="1" x14ac:dyDescent="0.2">
      <c r="B25" s="316" t="str">
        <f>"Carrying value at " &amp; TEXT(ComparativeYearStart,"d mmmm yyyy")</f>
        <v>Carrying value at 1 April 2020</v>
      </c>
      <c r="C25" s="220">
        <v>35628.605839999997</v>
      </c>
      <c r="D25" s="220">
        <v>0</v>
      </c>
      <c r="E25" s="220">
        <v>0</v>
      </c>
      <c r="F25" s="220">
        <v>0</v>
      </c>
      <c r="G25" s="220">
        <f t="shared" ref="G25:G39" si="1">SUM(C25:F25)</f>
        <v>35628.605839999997</v>
      </c>
      <c r="H25" s="313"/>
      <c r="I25" s="313"/>
    </row>
    <row r="26" spans="1:17" s="276" customFormat="1" ht="14.1" hidden="1" customHeight="1" x14ac:dyDescent="0.2">
      <c r="A26" s="205"/>
      <c r="B26" s="277" t="s">
        <v>606</v>
      </c>
      <c r="C26" s="219">
        <v>0</v>
      </c>
      <c r="D26" s="219">
        <v>0</v>
      </c>
      <c r="E26" s="219">
        <v>0</v>
      </c>
      <c r="F26" s="219">
        <v>0</v>
      </c>
      <c r="G26" s="220">
        <f t="shared" si="1"/>
        <v>0</v>
      </c>
      <c r="H26" s="313"/>
      <c r="I26" s="313"/>
    </row>
    <row r="27" spans="1:17" s="276" customFormat="1" ht="14.1" hidden="1" customHeight="1" x14ac:dyDescent="0.2">
      <c r="A27" s="205"/>
      <c r="B27" s="316" t="str">
        <f>"Carrying value at " &amp; TEXT(ComparativeYearStart,"d mmmm yyyy")&amp;" - restated"</f>
        <v>Carrying value at 1 April 2020 - restated</v>
      </c>
      <c r="C27" s="207">
        <f>SUM(C25:C26)</f>
        <v>35628.605839999997</v>
      </c>
      <c r="D27" s="207">
        <f>SUM(D25:D26)</f>
        <v>0</v>
      </c>
      <c r="E27" s="207">
        <f>SUM(E25:E26)</f>
        <v>0</v>
      </c>
      <c r="F27" s="207">
        <f>SUM(F25:F26)</f>
        <v>0</v>
      </c>
      <c r="G27" s="207">
        <f>SUM(G25:G26)</f>
        <v>35628.605839999997</v>
      </c>
      <c r="H27" s="313"/>
      <c r="I27" s="313"/>
    </row>
    <row r="28" spans="1:17" ht="14.1" hidden="1" customHeight="1" x14ac:dyDescent="0.2">
      <c r="B28" s="229" t="s">
        <v>977</v>
      </c>
      <c r="C28" s="220">
        <v>0</v>
      </c>
      <c r="D28" s="220">
        <v>0</v>
      </c>
      <c r="E28" s="220">
        <v>0</v>
      </c>
      <c r="F28" s="220">
        <v>0</v>
      </c>
      <c r="G28" s="220">
        <f>SUM(C28:F28)</f>
        <v>0</v>
      </c>
      <c r="H28" s="313"/>
      <c r="I28" s="270" t="s">
        <v>592</v>
      </c>
    </row>
    <row r="29" spans="1:17" ht="13.7" customHeight="1" x14ac:dyDescent="0.2">
      <c r="B29" s="316" t="s">
        <v>1098</v>
      </c>
      <c r="C29" s="219"/>
      <c r="D29" s="219"/>
      <c r="E29" s="219"/>
      <c r="F29" s="219"/>
      <c r="G29" s="220"/>
      <c r="H29" s="313"/>
      <c r="I29" s="313"/>
    </row>
    <row r="30" spans="1:17" ht="24.6" customHeight="1" x14ac:dyDescent="0.2">
      <c r="B30" s="327" t="s">
        <v>1099</v>
      </c>
      <c r="C30" s="219">
        <v>-1823</v>
      </c>
      <c r="D30" s="219">
        <v>0</v>
      </c>
      <c r="E30" s="219">
        <v>0</v>
      </c>
      <c r="F30" s="219">
        <v>0</v>
      </c>
      <c r="G30" s="220">
        <f t="shared" si="1"/>
        <v>-1823</v>
      </c>
      <c r="H30" s="313"/>
      <c r="I30" s="313"/>
    </row>
    <row r="31" spans="1:17" ht="14.1" customHeight="1" x14ac:dyDescent="0.2">
      <c r="B31" s="327" t="s">
        <v>1100</v>
      </c>
      <c r="C31" s="219">
        <v>-1028</v>
      </c>
      <c r="D31" s="219">
        <v>0</v>
      </c>
      <c r="E31" s="219">
        <v>0</v>
      </c>
      <c r="F31" s="219">
        <v>0</v>
      </c>
      <c r="G31" s="220">
        <f t="shared" si="1"/>
        <v>-1028</v>
      </c>
      <c r="H31" s="313"/>
      <c r="I31" s="313"/>
    </row>
    <row r="32" spans="1:17" ht="13.7" customHeight="1" x14ac:dyDescent="0.2">
      <c r="B32" s="316" t="s">
        <v>1101</v>
      </c>
      <c r="C32" s="219"/>
      <c r="D32" s="219"/>
      <c r="E32" s="219"/>
      <c r="F32" s="219"/>
      <c r="G32" s="220"/>
      <c r="H32" s="313"/>
      <c r="I32" s="313"/>
    </row>
    <row r="33" spans="1:9" ht="13.7" hidden="1" customHeight="1" x14ac:dyDescent="0.2">
      <c r="B33" s="327" t="s">
        <v>962</v>
      </c>
      <c r="C33" s="219">
        <v>0</v>
      </c>
      <c r="D33" s="219">
        <v>0</v>
      </c>
      <c r="E33" s="219">
        <v>0</v>
      </c>
      <c r="F33" s="219">
        <v>0</v>
      </c>
      <c r="G33" s="220">
        <f t="shared" si="1"/>
        <v>0</v>
      </c>
      <c r="H33" s="313"/>
      <c r="I33" s="313"/>
    </row>
    <row r="34" spans="1:9" ht="13.7" hidden="1" customHeight="1" x14ac:dyDescent="0.2">
      <c r="B34" s="327" t="s">
        <v>956</v>
      </c>
      <c r="C34" s="219">
        <v>0</v>
      </c>
      <c r="D34" s="219">
        <v>0</v>
      </c>
      <c r="E34" s="219">
        <v>0</v>
      </c>
      <c r="F34" s="219">
        <v>0</v>
      </c>
      <c r="G34" s="220">
        <f t="shared" si="1"/>
        <v>0</v>
      </c>
      <c r="H34" s="313"/>
      <c r="I34" s="313"/>
    </row>
    <row r="35" spans="1:9" ht="13.7" customHeight="1" x14ac:dyDescent="0.2">
      <c r="B35" s="327" t="s">
        <v>1102</v>
      </c>
      <c r="C35" s="219">
        <v>1023</v>
      </c>
      <c r="D35" s="219">
        <v>0</v>
      </c>
      <c r="E35" s="219">
        <v>0</v>
      </c>
      <c r="F35" s="219">
        <v>0</v>
      </c>
      <c r="G35" s="220">
        <f t="shared" si="1"/>
        <v>1023</v>
      </c>
      <c r="H35" s="313"/>
    </row>
    <row r="36" spans="1:9" ht="13.7" hidden="1" customHeight="1" x14ac:dyDescent="0.2">
      <c r="B36" s="327" t="s">
        <v>1103</v>
      </c>
      <c r="C36" s="219">
        <v>0</v>
      </c>
      <c r="D36" s="219">
        <v>0</v>
      </c>
      <c r="E36" s="219">
        <v>0</v>
      </c>
      <c r="F36" s="219">
        <v>0</v>
      </c>
      <c r="G36" s="220">
        <f t="shared" si="1"/>
        <v>0</v>
      </c>
      <c r="H36" s="313"/>
    </row>
    <row r="37" spans="1:9" ht="13.7" hidden="1" customHeight="1" x14ac:dyDescent="0.2">
      <c r="B37" s="327" t="s">
        <v>1104</v>
      </c>
      <c r="C37" s="219">
        <v>0</v>
      </c>
      <c r="D37" s="219">
        <v>0</v>
      </c>
      <c r="E37" s="219">
        <v>0</v>
      </c>
      <c r="F37" s="219">
        <v>0</v>
      </c>
      <c r="G37" s="220">
        <f t="shared" si="1"/>
        <v>0</v>
      </c>
      <c r="H37" s="313"/>
    </row>
    <row r="38" spans="1:9" s="287" customFormat="1" ht="13.7" hidden="1" customHeight="1" x14ac:dyDescent="0.2">
      <c r="A38" s="205"/>
      <c r="B38" s="327" t="s">
        <v>1105</v>
      </c>
      <c r="C38" s="219">
        <v>0</v>
      </c>
      <c r="D38" s="219">
        <v>0</v>
      </c>
      <c r="E38" s="219">
        <v>0</v>
      </c>
      <c r="F38" s="219">
        <v>0</v>
      </c>
      <c r="G38" s="220">
        <f t="shared" si="1"/>
        <v>0</v>
      </c>
      <c r="H38" s="313"/>
    </row>
    <row r="39" spans="1:9" ht="13.7" hidden="1" customHeight="1" x14ac:dyDescent="0.2">
      <c r="B39" s="327" t="s">
        <v>1106</v>
      </c>
      <c r="C39" s="219">
        <v>0</v>
      </c>
      <c r="D39" s="219">
        <v>0</v>
      </c>
      <c r="E39" s="219">
        <v>0</v>
      </c>
      <c r="F39" s="219">
        <v>0</v>
      </c>
      <c r="G39" s="220">
        <f t="shared" si="1"/>
        <v>0</v>
      </c>
      <c r="H39" s="329"/>
    </row>
    <row r="40" spans="1:9" ht="14.1" customHeight="1" thickBot="1" x14ac:dyDescent="0.25">
      <c r="B40" s="316" t="str">
        <f>"Carrying value at " &amp; TEXT(ComparativeYearEnd,"d mmmm yyyy")</f>
        <v>Carrying value at 31 March 2021</v>
      </c>
      <c r="C40" s="206">
        <f>SUM(C27:C39)</f>
        <v>33800.605839999997</v>
      </c>
      <c r="D40" s="206">
        <f t="shared" ref="D40:G40" si="2">SUM(D27:D39)</f>
        <v>0</v>
      </c>
      <c r="E40" s="206">
        <f t="shared" si="2"/>
        <v>0</v>
      </c>
      <c r="F40" s="206">
        <f t="shared" si="2"/>
        <v>0</v>
      </c>
      <c r="G40" s="206">
        <f t="shared" si="2"/>
        <v>33800.605839999997</v>
      </c>
      <c r="H40" s="313"/>
    </row>
    <row r="41" spans="1:9" ht="14.1" customHeight="1" thickTop="1" x14ac:dyDescent="0.2">
      <c r="B41" s="313"/>
      <c r="C41" s="313"/>
      <c r="D41" s="313"/>
      <c r="E41" s="313"/>
      <c r="F41" s="313"/>
      <c r="G41" s="313"/>
      <c r="H41" s="313"/>
    </row>
    <row r="42" spans="1:9" ht="14.1" customHeight="1" x14ac:dyDescent="0.2">
      <c r="B42" s="313"/>
      <c r="C42" s="313"/>
      <c r="D42" s="313"/>
      <c r="E42" s="313"/>
      <c r="F42" s="313"/>
      <c r="G42" s="313"/>
      <c r="H42" s="314"/>
    </row>
    <row r="44" spans="1:9" ht="24" customHeight="1" x14ac:dyDescent="0.2">
      <c r="B44" s="313"/>
      <c r="C44" s="313"/>
      <c r="D44" s="313"/>
      <c r="E44" s="313"/>
      <c r="F44" s="313"/>
      <c r="G44" s="313"/>
      <c r="H44" s="313"/>
    </row>
    <row r="47" spans="1:9" ht="13.7" customHeight="1" x14ac:dyDescent="0.2">
      <c r="B47" s="313"/>
      <c r="C47" s="313"/>
      <c r="D47" s="313"/>
      <c r="E47" s="313"/>
      <c r="F47" s="313"/>
      <c r="G47" s="313"/>
      <c r="H47" s="313"/>
    </row>
    <row r="48" spans="1:9" ht="13.7" customHeight="1" x14ac:dyDescent="0.2">
      <c r="B48" s="313"/>
      <c r="C48" s="313"/>
      <c r="D48" s="313"/>
      <c r="E48" s="313"/>
      <c r="F48" s="313"/>
      <c r="G48" s="313"/>
      <c r="H48" s="313"/>
    </row>
    <row r="49" spans="1:8" ht="13.7" customHeight="1" x14ac:dyDescent="0.2">
      <c r="B49" s="313"/>
      <c r="C49" s="313"/>
      <c r="D49" s="313"/>
      <c r="E49" s="313"/>
      <c r="F49" s="313"/>
      <c r="G49" s="313"/>
      <c r="H49" s="313"/>
    </row>
    <row r="50" spans="1:8" ht="13.7" customHeight="1" x14ac:dyDescent="0.2">
      <c r="B50" s="313"/>
      <c r="C50" s="313"/>
      <c r="D50" s="313"/>
      <c r="E50" s="313"/>
      <c r="F50" s="313"/>
      <c r="G50" s="313"/>
      <c r="H50" s="313"/>
    </row>
    <row r="51" spans="1:8" ht="13.7" customHeight="1" x14ac:dyDescent="0.2">
      <c r="B51" s="313"/>
    </row>
    <row r="52" spans="1:8" ht="13.7" customHeight="1" x14ac:dyDescent="0.2">
      <c r="B52" s="313"/>
    </row>
    <row r="53" spans="1:8" ht="13.7" customHeight="1" x14ac:dyDescent="0.2">
      <c r="B53" s="313"/>
    </row>
    <row r="54" spans="1:8" ht="13.7" customHeight="1" x14ac:dyDescent="0.2">
      <c r="B54" s="313"/>
    </row>
    <row r="56" spans="1:8" ht="14.1" customHeight="1" x14ac:dyDescent="0.2">
      <c r="B56" s="316"/>
    </row>
    <row r="59" spans="1:8" ht="14.1" customHeight="1" x14ac:dyDescent="0.2">
      <c r="A59" s="313"/>
      <c r="B59" s="313"/>
    </row>
    <row r="60" spans="1:8" ht="14.1" customHeight="1" x14ac:dyDescent="0.2">
      <c r="A60" s="313"/>
      <c r="B60" s="313"/>
    </row>
    <row r="61" spans="1:8" ht="14.1" customHeight="1" x14ac:dyDescent="0.2">
      <c r="A61" s="313"/>
      <c r="B61" s="313"/>
    </row>
    <row r="62" spans="1:8" ht="14.1" customHeight="1" x14ac:dyDescent="0.2">
      <c r="A62" s="313"/>
      <c r="B62" s="313"/>
    </row>
    <row r="63" spans="1:8" ht="14.1" customHeight="1" x14ac:dyDescent="0.2">
      <c r="A63" s="313"/>
      <c r="B63" s="313"/>
    </row>
    <row r="64" spans="1:8" ht="14.1" customHeight="1" x14ac:dyDescent="0.2">
      <c r="A64" s="313"/>
      <c r="B64" s="313"/>
    </row>
    <row r="65" spans="1:2" ht="14.1" customHeight="1" x14ac:dyDescent="0.2">
      <c r="A65" s="313"/>
      <c r="B65" s="313"/>
    </row>
    <row r="66" spans="1:2" ht="14.1" customHeight="1" x14ac:dyDescent="0.2">
      <c r="A66" s="313"/>
      <c r="B66" s="313"/>
    </row>
    <row r="71" spans="1:2" ht="14.1" customHeight="1" x14ac:dyDescent="0.2">
      <c r="A71" s="313"/>
    </row>
    <row r="72" spans="1:2" ht="14.1" customHeight="1" x14ac:dyDescent="0.2">
      <c r="A72" s="313"/>
    </row>
    <row r="73" spans="1:2" ht="14.1" customHeight="1" x14ac:dyDescent="0.2">
      <c r="A73" s="313"/>
    </row>
  </sheetData>
  <pageMargins left="0.70866141732283472" right="0.70866141732283472" top="0.74803149606299213" bottom="0.74803149606299213" header="0.31496062992125984" footer="0.31496062992125984"/>
  <pageSetup paperSize="9" fitToHeight="0" orientation="portrait" verticalDpi="0" r:id="rId1"/>
  <headerFooter>
    <oddFooter>&amp;RPage &amp;P of &amp;N</oddFooter>
  </headerFooter>
  <ignoredErrors>
    <ignoredError sqref="E12" formulaRange="1"/>
    <ignoredError sqref="C6 C24"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tabColor theme="8" tint="0.39997558519241921"/>
    <pageSetUpPr fitToPage="1"/>
  </sheetPr>
  <dimension ref="A1:M57"/>
  <sheetViews>
    <sheetView showGridLines="0" tabSelected="1" zoomScaleNormal="100" workbookViewId="0">
      <selection activeCell="T27" sqref="T27"/>
    </sheetView>
  </sheetViews>
  <sheetFormatPr defaultColWidth="9.140625" defaultRowHeight="14.1" customHeight="1" x14ac:dyDescent="0.2"/>
  <cols>
    <col min="1" max="1" width="1.42578125" style="38" customWidth="1"/>
    <col min="2" max="2" width="46.28515625" style="21" customWidth="1"/>
    <col min="3" max="3" width="10" style="21" customWidth="1"/>
    <col min="4" max="4" width="10.140625" style="21" hidden="1" customWidth="1"/>
    <col min="5" max="5" width="10.140625" style="21" customWidth="1"/>
    <col min="6" max="7" width="10.140625" style="21" hidden="1" customWidth="1"/>
    <col min="8" max="8" width="11.7109375" style="21" customWidth="1"/>
    <col min="9" max="9" width="10.7109375" style="21" bestFit="1" customWidth="1"/>
    <col min="10" max="10" width="10.140625" style="184" hidden="1" customWidth="1"/>
    <col min="11" max="11" width="10.140625" style="21" customWidth="1"/>
    <col min="12" max="16384" width="9.140625" style="21"/>
  </cols>
  <sheetData>
    <row r="1" spans="1:13" s="313" customFormat="1" ht="14.1" customHeight="1" x14ac:dyDescent="0.2">
      <c r="A1" s="350" t="s">
        <v>1310</v>
      </c>
      <c r="B1" s="351"/>
      <c r="C1" s="351"/>
      <c r="D1" s="351"/>
      <c r="E1" s="351"/>
      <c r="F1" s="351"/>
      <c r="G1" s="351"/>
      <c r="H1" s="351"/>
      <c r="I1" s="351"/>
      <c r="J1" s="351"/>
      <c r="K1" s="351"/>
    </row>
    <row r="2" spans="1:13" s="313" customFormat="1" ht="14.1" customHeight="1" x14ac:dyDescent="0.2">
      <c r="A2" s="205"/>
    </row>
    <row r="3" spans="1:13" ht="14.1" customHeight="1" x14ac:dyDescent="0.2">
      <c r="A3" s="205">
        <f>ROUNDDOWN('Borrowings (group)'!A3,0)+1.1</f>
        <v>27.1</v>
      </c>
      <c r="B3" s="289" t="str">
        <f>"Note "&amp;A3&amp; " Provisions for liabilities and charges analysis (Group)"</f>
        <v>Note 27.1 Provisions for liabilities and charges analysis (Group)</v>
      </c>
      <c r="C3" s="316"/>
      <c r="D3" s="316"/>
      <c r="E3" s="316"/>
      <c r="F3" s="316"/>
      <c r="G3" s="316"/>
      <c r="H3" s="316"/>
      <c r="I3" s="316"/>
      <c r="J3" s="316"/>
      <c r="K3" s="316"/>
      <c r="L3" s="313"/>
      <c r="M3" s="313"/>
    </row>
    <row r="4" spans="1:13" ht="14.1" customHeight="1" x14ac:dyDescent="0.2">
      <c r="A4" s="205"/>
      <c r="B4" s="316"/>
      <c r="C4" s="316"/>
      <c r="D4" s="316"/>
      <c r="E4" s="316"/>
      <c r="F4" s="316"/>
      <c r="G4" s="313"/>
      <c r="H4" s="316"/>
      <c r="I4" s="316"/>
      <c r="J4" s="316"/>
      <c r="K4" s="316"/>
      <c r="L4" s="313"/>
      <c r="M4" s="313"/>
    </row>
    <row r="5" spans="1:13" ht="56.25" customHeight="1" x14ac:dyDescent="0.2">
      <c r="A5" s="205"/>
      <c r="B5" s="316" t="s">
        <v>500</v>
      </c>
      <c r="C5" s="290" t="s">
        <v>1107</v>
      </c>
      <c r="D5" s="290" t="s">
        <v>1108</v>
      </c>
      <c r="E5" s="290" t="s">
        <v>1109</v>
      </c>
      <c r="F5" s="290" t="s">
        <v>1110</v>
      </c>
      <c r="G5" s="290" t="s">
        <v>1111</v>
      </c>
      <c r="H5" s="290" t="s">
        <v>1112</v>
      </c>
      <c r="I5" s="290" t="s">
        <v>860</v>
      </c>
      <c r="J5" s="290" t="s">
        <v>1113</v>
      </c>
      <c r="K5" s="290" t="s">
        <v>953</v>
      </c>
      <c r="L5" s="314"/>
      <c r="M5" s="313"/>
    </row>
    <row r="6" spans="1:13" ht="14.1" customHeight="1" x14ac:dyDescent="0.2">
      <c r="A6" s="205"/>
      <c r="B6" s="316"/>
      <c r="C6" s="290" t="s">
        <v>590</v>
      </c>
      <c r="D6" s="290" t="s">
        <v>502</v>
      </c>
      <c r="E6" s="290" t="s">
        <v>502</v>
      </c>
      <c r="F6" s="290" t="s">
        <v>502</v>
      </c>
      <c r="G6" s="290" t="s">
        <v>502</v>
      </c>
      <c r="H6" s="290" t="s">
        <v>502</v>
      </c>
      <c r="I6" s="290" t="s">
        <v>502</v>
      </c>
      <c r="J6" s="290" t="s">
        <v>502</v>
      </c>
      <c r="K6" s="290" t="s">
        <v>590</v>
      </c>
      <c r="L6" s="314"/>
      <c r="M6" s="313"/>
    </row>
    <row r="7" spans="1:13" s="17" customFormat="1" ht="14.1" customHeight="1" x14ac:dyDescent="0.2">
      <c r="A7" s="191"/>
      <c r="B7" s="316" t="str">
        <f>"At " &amp; TEXT(CurrentYearStart,"d mmmm yyyy")</f>
        <v>At 1 April 2021</v>
      </c>
      <c r="C7" s="220">
        <v>299.82146</v>
      </c>
      <c r="D7" s="220">
        <v>0</v>
      </c>
      <c r="E7" s="220">
        <v>1528</v>
      </c>
      <c r="F7" s="220">
        <v>0</v>
      </c>
      <c r="G7" s="220">
        <v>0</v>
      </c>
      <c r="H7" s="220">
        <v>327</v>
      </c>
      <c r="I7" s="220">
        <v>3612.7</v>
      </c>
      <c r="J7" s="220">
        <v>0</v>
      </c>
      <c r="K7" s="220">
        <f>SUM(C7:J7)</f>
        <v>5767.5214599999999</v>
      </c>
      <c r="L7" s="47"/>
      <c r="M7" s="316"/>
    </row>
    <row r="8" spans="1:13" s="17" customFormat="1" ht="14.1" hidden="1" customHeight="1" x14ac:dyDescent="0.2">
      <c r="A8" s="191"/>
      <c r="B8" s="316" t="s">
        <v>591</v>
      </c>
      <c r="C8" s="220">
        <v>0</v>
      </c>
      <c r="D8" s="220">
        <v>0</v>
      </c>
      <c r="E8" s="220">
        <v>0</v>
      </c>
      <c r="F8" s="220">
        <v>0</v>
      </c>
      <c r="G8" s="220">
        <v>0</v>
      </c>
      <c r="H8" s="220">
        <v>0</v>
      </c>
      <c r="I8" s="220">
        <v>0</v>
      </c>
      <c r="J8" s="220">
        <v>0</v>
      </c>
      <c r="K8" s="220">
        <f t="shared" ref="K8:K16" si="0">SUM(C8:J8)</f>
        <v>0</v>
      </c>
      <c r="L8" s="104"/>
      <c r="M8" s="274" t="s">
        <v>592</v>
      </c>
    </row>
    <row r="9" spans="1:13" ht="14.1" hidden="1" customHeight="1" x14ac:dyDescent="0.2">
      <c r="A9" s="205"/>
      <c r="B9" s="327" t="s">
        <v>962</v>
      </c>
      <c r="C9" s="219">
        <v>0</v>
      </c>
      <c r="D9" s="219">
        <v>0</v>
      </c>
      <c r="E9" s="219">
        <v>0</v>
      </c>
      <c r="F9" s="219">
        <v>0</v>
      </c>
      <c r="G9" s="219">
        <v>0</v>
      </c>
      <c r="H9" s="219">
        <v>0</v>
      </c>
      <c r="I9" s="219">
        <v>0</v>
      </c>
      <c r="J9" s="219">
        <v>0</v>
      </c>
      <c r="K9" s="220">
        <f t="shared" si="0"/>
        <v>0</v>
      </c>
      <c r="L9" s="314"/>
      <c r="M9" s="313"/>
    </row>
    <row r="10" spans="1:13" ht="14.1" customHeight="1" x14ac:dyDescent="0.2">
      <c r="A10" s="205"/>
      <c r="B10" s="327" t="s">
        <v>1114</v>
      </c>
      <c r="C10" s="219">
        <v>6</v>
      </c>
      <c r="D10" s="219">
        <v>0</v>
      </c>
      <c r="E10" s="219">
        <v>0</v>
      </c>
      <c r="F10" s="219">
        <v>0</v>
      </c>
      <c r="G10" s="219">
        <v>0</v>
      </c>
      <c r="H10" s="219">
        <v>0</v>
      </c>
      <c r="I10" s="219">
        <v>0</v>
      </c>
      <c r="J10" s="219">
        <v>0</v>
      </c>
      <c r="K10" s="220">
        <f t="shared" si="0"/>
        <v>6</v>
      </c>
      <c r="L10" s="314"/>
      <c r="M10" s="313"/>
    </row>
    <row r="11" spans="1:13" ht="14.1" customHeight="1" x14ac:dyDescent="0.2">
      <c r="A11" s="205"/>
      <c r="B11" s="327" t="s">
        <v>1115</v>
      </c>
      <c r="C11" s="219">
        <v>7</v>
      </c>
      <c r="D11" s="219">
        <v>0</v>
      </c>
      <c r="E11" s="219">
        <v>426</v>
      </c>
      <c r="F11" s="219">
        <v>0</v>
      </c>
      <c r="G11" s="219">
        <v>0</v>
      </c>
      <c r="H11" s="219">
        <v>207</v>
      </c>
      <c r="I11" s="219">
        <v>604</v>
      </c>
      <c r="J11" s="219">
        <v>0</v>
      </c>
      <c r="K11" s="220">
        <f t="shared" si="0"/>
        <v>1244</v>
      </c>
      <c r="L11" s="314"/>
      <c r="M11" s="313"/>
    </row>
    <row r="12" spans="1:13" ht="14.1" customHeight="1" x14ac:dyDescent="0.2">
      <c r="A12" s="205"/>
      <c r="B12" s="327" t="s">
        <v>1116</v>
      </c>
      <c r="C12" s="219">
        <v>-27</v>
      </c>
      <c r="D12" s="219">
        <v>0</v>
      </c>
      <c r="E12" s="219">
        <v>-425</v>
      </c>
      <c r="F12" s="219">
        <v>0</v>
      </c>
      <c r="G12" s="219">
        <v>0</v>
      </c>
      <c r="H12" s="219">
        <v>-167</v>
      </c>
      <c r="I12" s="219">
        <v>-39</v>
      </c>
      <c r="J12" s="219">
        <v>0</v>
      </c>
      <c r="K12" s="220">
        <f t="shared" si="0"/>
        <v>-658</v>
      </c>
      <c r="L12" s="314"/>
      <c r="M12" s="313"/>
    </row>
    <row r="13" spans="1:13" ht="13.7" hidden="1" customHeight="1" x14ac:dyDescent="0.2">
      <c r="A13" s="205"/>
      <c r="B13" s="183" t="s">
        <v>1117</v>
      </c>
      <c r="C13" s="219">
        <v>0</v>
      </c>
      <c r="D13" s="219">
        <v>0</v>
      </c>
      <c r="E13" s="219">
        <v>0</v>
      </c>
      <c r="F13" s="219">
        <v>0</v>
      </c>
      <c r="G13" s="219">
        <v>0</v>
      </c>
      <c r="H13" s="219">
        <v>0</v>
      </c>
      <c r="I13" s="219">
        <v>0</v>
      </c>
      <c r="J13" s="219">
        <v>0</v>
      </c>
      <c r="K13" s="220">
        <f t="shared" si="0"/>
        <v>0</v>
      </c>
      <c r="L13" s="314"/>
      <c r="M13" s="313"/>
    </row>
    <row r="14" spans="1:13" ht="14.1" customHeight="1" x14ac:dyDescent="0.2">
      <c r="A14" s="205"/>
      <c r="B14" s="327" t="s">
        <v>1118</v>
      </c>
      <c r="C14" s="219">
        <v>0</v>
      </c>
      <c r="D14" s="219">
        <v>0</v>
      </c>
      <c r="E14" s="219">
        <v>-50</v>
      </c>
      <c r="F14" s="219">
        <v>0</v>
      </c>
      <c r="G14" s="219">
        <v>0</v>
      </c>
      <c r="H14" s="219">
        <v>0</v>
      </c>
      <c r="I14" s="219">
        <v>-552</v>
      </c>
      <c r="J14" s="219">
        <v>0</v>
      </c>
      <c r="K14" s="220">
        <f t="shared" si="0"/>
        <v>-602</v>
      </c>
      <c r="L14" s="314"/>
      <c r="M14" s="313"/>
    </row>
    <row r="15" spans="1:13" ht="14.1" customHeight="1" x14ac:dyDescent="0.2">
      <c r="A15" s="205"/>
      <c r="B15" s="327" t="s">
        <v>1119</v>
      </c>
      <c r="C15" s="219">
        <v>-3</v>
      </c>
      <c r="D15" s="219">
        <v>0</v>
      </c>
      <c r="E15" s="219">
        <v>0</v>
      </c>
      <c r="F15" s="219">
        <v>0</v>
      </c>
      <c r="G15" s="219">
        <v>0</v>
      </c>
      <c r="H15" s="219">
        <v>0</v>
      </c>
      <c r="I15" s="219">
        <v>0</v>
      </c>
      <c r="J15" s="219">
        <v>0</v>
      </c>
      <c r="K15" s="220">
        <f t="shared" si="0"/>
        <v>-3</v>
      </c>
      <c r="L15" s="314"/>
      <c r="M15" s="313"/>
    </row>
    <row r="16" spans="1:13" s="184" customFormat="1" ht="13.7" hidden="1" customHeight="1" x14ac:dyDescent="0.2">
      <c r="A16" s="205"/>
      <c r="B16" s="327" t="s">
        <v>1120</v>
      </c>
      <c r="C16" s="219"/>
      <c r="D16" s="219"/>
      <c r="E16" s="219"/>
      <c r="F16" s="219"/>
      <c r="G16" s="219"/>
      <c r="H16" s="219"/>
      <c r="I16" s="219"/>
      <c r="J16" s="219">
        <v>0</v>
      </c>
      <c r="K16" s="220">
        <f t="shared" si="0"/>
        <v>0</v>
      </c>
      <c r="L16" s="314"/>
      <c r="M16" s="313"/>
    </row>
    <row r="17" spans="1:13" s="17" customFormat="1" ht="14.1" customHeight="1" thickBot="1" x14ac:dyDescent="0.25">
      <c r="A17" s="191"/>
      <c r="B17" s="289" t="str">
        <f>"At " &amp; TEXT(CurrentYearEnd, "d mmmm yyyy")</f>
        <v>At 31 March 2022</v>
      </c>
      <c r="C17" s="206">
        <f t="shared" ref="C17:K17" si="1">SUM(C7:C16)</f>
        <v>282.82146</v>
      </c>
      <c r="D17" s="206">
        <f t="shared" si="1"/>
        <v>0</v>
      </c>
      <c r="E17" s="206">
        <f t="shared" si="1"/>
        <v>1479</v>
      </c>
      <c r="F17" s="206">
        <f t="shared" si="1"/>
        <v>0</v>
      </c>
      <c r="G17" s="206">
        <f t="shared" si="1"/>
        <v>0</v>
      </c>
      <c r="H17" s="206">
        <f t="shared" si="1"/>
        <v>367</v>
      </c>
      <c r="I17" s="206">
        <f t="shared" si="1"/>
        <v>3625.7</v>
      </c>
      <c r="J17" s="206">
        <f t="shared" si="1"/>
        <v>0</v>
      </c>
      <c r="K17" s="206">
        <f t="shared" si="1"/>
        <v>5754.5214599999999</v>
      </c>
      <c r="L17" s="47"/>
      <c r="M17" s="316"/>
    </row>
    <row r="18" spans="1:13" s="17" customFormat="1" ht="14.1" customHeight="1" thickTop="1" x14ac:dyDescent="0.2">
      <c r="A18" s="191"/>
      <c r="B18" s="316" t="s">
        <v>1121</v>
      </c>
      <c r="C18" s="219"/>
      <c r="D18" s="219"/>
      <c r="E18" s="219"/>
      <c r="F18" s="219"/>
      <c r="G18" s="219"/>
      <c r="H18" s="219"/>
      <c r="I18" s="219"/>
      <c r="J18" s="219"/>
      <c r="K18" s="219"/>
      <c r="L18" s="47"/>
      <c r="M18" s="316"/>
    </row>
    <row r="19" spans="1:13" ht="14.1" customHeight="1" x14ac:dyDescent="0.2">
      <c r="A19" s="205"/>
      <c r="B19" s="318" t="s">
        <v>906</v>
      </c>
      <c r="C19" s="219">
        <v>23</v>
      </c>
      <c r="D19" s="219">
        <v>0</v>
      </c>
      <c r="E19" s="219">
        <v>1479</v>
      </c>
      <c r="F19" s="219">
        <v>0</v>
      </c>
      <c r="G19" s="219">
        <v>0</v>
      </c>
      <c r="H19" s="219">
        <v>367</v>
      </c>
      <c r="I19" s="304">
        <v>1140</v>
      </c>
      <c r="J19" s="219">
        <v>0</v>
      </c>
      <c r="K19" s="220">
        <f t="shared" ref="K19:K21" si="2">SUM(C19:J19)</f>
        <v>3009</v>
      </c>
      <c r="L19" s="314"/>
    </row>
    <row r="20" spans="1:13" ht="13.7" customHeight="1" x14ac:dyDescent="0.2">
      <c r="A20" s="205"/>
      <c r="B20" s="214" t="s">
        <v>907</v>
      </c>
      <c r="C20" s="219">
        <v>107</v>
      </c>
      <c r="D20" s="219">
        <v>0</v>
      </c>
      <c r="E20" s="219">
        <v>0</v>
      </c>
      <c r="F20" s="219">
        <v>0</v>
      </c>
      <c r="G20" s="219">
        <v>0</v>
      </c>
      <c r="H20" s="219">
        <v>0</v>
      </c>
      <c r="I20" s="304">
        <v>1220</v>
      </c>
      <c r="J20" s="219">
        <v>0</v>
      </c>
      <c r="K20" s="220">
        <f t="shared" si="2"/>
        <v>1327</v>
      </c>
      <c r="L20" s="314"/>
    </row>
    <row r="21" spans="1:13" ht="14.1" customHeight="1" x14ac:dyDescent="0.2">
      <c r="A21" s="205"/>
      <c r="B21" s="318" t="s">
        <v>908</v>
      </c>
      <c r="C21" s="219">
        <v>152.82146</v>
      </c>
      <c r="D21" s="219">
        <v>0</v>
      </c>
      <c r="E21" s="219">
        <v>0</v>
      </c>
      <c r="F21" s="219">
        <v>0</v>
      </c>
      <c r="G21" s="219">
        <v>0</v>
      </c>
      <c r="H21" s="219">
        <v>0</v>
      </c>
      <c r="I21" s="304">
        <v>1265.6999999999998</v>
      </c>
      <c r="J21" s="219">
        <v>0</v>
      </c>
      <c r="K21" s="220">
        <f t="shared" si="2"/>
        <v>1418.5214599999999</v>
      </c>
      <c r="L21" s="313"/>
    </row>
    <row r="22" spans="1:13" s="17" customFormat="1" ht="14.1" customHeight="1" thickBot="1" x14ac:dyDescent="0.25">
      <c r="A22" s="191"/>
      <c r="B22" s="289" t="s">
        <v>589</v>
      </c>
      <c r="C22" s="206">
        <f>SUM(C19:C21)</f>
        <v>282.82146</v>
      </c>
      <c r="D22" s="206">
        <f t="shared" ref="D22:K22" si="3">SUM(D19:D21)</f>
        <v>0</v>
      </c>
      <c r="E22" s="206">
        <f t="shared" si="3"/>
        <v>1479</v>
      </c>
      <c r="F22" s="206">
        <f t="shared" si="3"/>
        <v>0</v>
      </c>
      <c r="G22" s="206">
        <f t="shared" si="3"/>
        <v>0</v>
      </c>
      <c r="H22" s="206">
        <f t="shared" si="3"/>
        <v>367</v>
      </c>
      <c r="I22" s="206">
        <f t="shared" si="3"/>
        <v>3625.7</v>
      </c>
      <c r="J22" s="206">
        <f>SUM(J19:J21)</f>
        <v>0</v>
      </c>
      <c r="K22" s="206">
        <f t="shared" si="3"/>
        <v>5754.5214599999999</v>
      </c>
      <c r="L22" s="316"/>
    </row>
    <row r="23" spans="1:13" ht="14.1" customHeight="1" thickTop="1" x14ac:dyDescent="0.2">
      <c r="A23" s="205"/>
      <c r="B23" s="313"/>
      <c r="C23" s="203"/>
      <c r="D23" s="203"/>
      <c r="E23" s="203"/>
      <c r="F23" s="203"/>
      <c r="G23" s="203"/>
      <c r="H23" s="203"/>
      <c r="I23" s="203"/>
      <c r="J23" s="203"/>
      <c r="K23" s="203"/>
      <c r="L23" s="313"/>
    </row>
    <row r="24" spans="1:13" ht="78.75" customHeight="1" x14ac:dyDescent="0.2">
      <c r="A24" s="205"/>
      <c r="B24" s="463" t="s">
        <v>1351</v>
      </c>
      <c r="C24" s="463"/>
      <c r="D24" s="463"/>
      <c r="E24" s="463"/>
      <c r="F24" s="463"/>
      <c r="G24" s="463"/>
      <c r="H24" s="463"/>
      <c r="I24" s="463"/>
      <c r="J24" s="463"/>
      <c r="K24" s="463"/>
      <c r="L24" s="313"/>
    </row>
    <row r="25" spans="1:13" ht="14.1" customHeight="1" x14ac:dyDescent="0.2">
      <c r="A25" s="205"/>
      <c r="B25" s="463"/>
      <c r="C25" s="463"/>
      <c r="D25" s="463"/>
      <c r="E25" s="463"/>
      <c r="F25" s="463"/>
      <c r="G25" s="463"/>
      <c r="H25" s="463"/>
      <c r="I25" s="463"/>
      <c r="J25" s="463"/>
      <c r="K25" s="463"/>
      <c r="L25" s="313"/>
    </row>
    <row r="26" spans="1:13" ht="14.1" customHeight="1" x14ac:dyDescent="0.2">
      <c r="A26" s="205"/>
      <c r="B26" s="463"/>
      <c r="C26" s="463"/>
      <c r="D26" s="463"/>
      <c r="E26" s="463"/>
      <c r="F26" s="463"/>
      <c r="G26" s="463"/>
      <c r="H26" s="463"/>
      <c r="I26" s="463"/>
      <c r="J26" s="463"/>
      <c r="K26" s="463"/>
      <c r="L26" s="313"/>
    </row>
    <row r="27" spans="1:13" ht="14.1" customHeight="1" x14ac:dyDescent="0.2">
      <c r="A27" s="205"/>
      <c r="B27" s="463"/>
      <c r="C27" s="463"/>
      <c r="D27" s="463"/>
      <c r="E27" s="463"/>
      <c r="F27" s="463"/>
      <c r="G27" s="463"/>
      <c r="H27" s="463"/>
      <c r="I27" s="463"/>
      <c r="J27" s="463"/>
      <c r="K27" s="463"/>
      <c r="L27" s="313"/>
    </row>
    <row r="28" spans="1:13" ht="42.75" customHeight="1" x14ac:dyDescent="0.2">
      <c r="A28" s="205"/>
      <c r="B28" s="463"/>
      <c r="C28" s="463"/>
      <c r="D28" s="463"/>
      <c r="E28" s="463"/>
      <c r="F28" s="463"/>
      <c r="G28" s="463"/>
      <c r="H28" s="463"/>
      <c r="I28" s="463"/>
      <c r="J28" s="463"/>
      <c r="K28" s="463"/>
      <c r="L28" s="313"/>
    </row>
    <row r="29" spans="1:13" s="252" customFormat="1" ht="29.85" customHeight="1" x14ac:dyDescent="0.2">
      <c r="A29" s="205"/>
      <c r="B29" s="445"/>
      <c r="C29" s="445"/>
      <c r="D29" s="445"/>
      <c r="E29" s="445"/>
      <c r="F29" s="445"/>
      <c r="G29" s="445"/>
      <c r="H29" s="445"/>
      <c r="I29" s="445"/>
      <c r="J29" s="445"/>
      <c r="K29" s="445"/>
      <c r="L29" s="313"/>
    </row>
    <row r="31" spans="1:13" s="226" customFormat="1" ht="14.1" customHeight="1" x14ac:dyDescent="0.2">
      <c r="A31" s="205">
        <f>A3+0.1</f>
        <v>27.200000000000003</v>
      </c>
      <c r="B31" s="289" t="str">
        <f>"Note "&amp;A31&amp; " Provisions for liabilities and charges analysis (Trust)"</f>
        <v>Note 27.2 Provisions for liabilities and charges analysis (Trust)</v>
      </c>
      <c r="C31" s="316"/>
      <c r="D31" s="316"/>
      <c r="E31" s="316"/>
      <c r="F31" s="316"/>
      <c r="G31" s="316"/>
      <c r="H31" s="316"/>
      <c r="I31" s="316"/>
      <c r="J31" s="316"/>
      <c r="K31" s="316"/>
      <c r="L31" s="313"/>
    </row>
    <row r="32" spans="1:13" s="226" customFormat="1" ht="14.1" customHeight="1" x14ac:dyDescent="0.2">
      <c r="A32" s="205"/>
      <c r="B32" s="289"/>
      <c r="C32" s="316"/>
      <c r="D32" s="316"/>
      <c r="E32" s="316"/>
      <c r="F32" s="316"/>
      <c r="G32" s="316"/>
      <c r="H32" s="316"/>
      <c r="I32" s="316"/>
      <c r="J32" s="316"/>
      <c r="K32" s="316"/>
      <c r="L32" s="313"/>
    </row>
    <row r="33" spans="1:13" s="184" customFormat="1" ht="56.25" customHeight="1" x14ac:dyDescent="0.2">
      <c r="A33" s="205"/>
      <c r="B33" s="316" t="s">
        <v>94</v>
      </c>
      <c r="C33" s="290" t="s">
        <v>1107</v>
      </c>
      <c r="D33" s="290" t="s">
        <v>1108</v>
      </c>
      <c r="E33" s="290" t="s">
        <v>1109</v>
      </c>
      <c r="F33" s="290" t="s">
        <v>1110</v>
      </c>
      <c r="G33" s="290" t="s">
        <v>1111</v>
      </c>
      <c r="H33" s="290" t="s">
        <v>1112</v>
      </c>
      <c r="I33" s="290" t="s">
        <v>860</v>
      </c>
      <c r="J33" s="290" t="s">
        <v>1113</v>
      </c>
      <c r="K33" s="290" t="s">
        <v>953</v>
      </c>
      <c r="L33" s="313"/>
    </row>
    <row r="34" spans="1:13" s="184" customFormat="1" ht="14.1" customHeight="1" x14ac:dyDescent="0.2">
      <c r="A34" s="205"/>
      <c r="B34" s="316"/>
      <c r="C34" s="290" t="s">
        <v>590</v>
      </c>
      <c r="D34" s="290" t="s">
        <v>502</v>
      </c>
      <c r="E34" s="290" t="s">
        <v>502</v>
      </c>
      <c r="F34" s="290" t="s">
        <v>502</v>
      </c>
      <c r="G34" s="290" t="s">
        <v>502</v>
      </c>
      <c r="H34" s="290" t="s">
        <v>502</v>
      </c>
      <c r="I34" s="290" t="s">
        <v>502</v>
      </c>
      <c r="J34" s="290" t="s">
        <v>502</v>
      </c>
      <c r="K34" s="290" t="s">
        <v>590</v>
      </c>
      <c r="L34" s="313"/>
    </row>
    <row r="35" spans="1:13" s="185" customFormat="1" ht="14.1" customHeight="1" x14ac:dyDescent="0.2">
      <c r="A35" s="191"/>
      <c r="B35" s="316" t="str">
        <f>"At " &amp; TEXT(CurrentYearStart,"d mmmm yyyy")</f>
        <v>At 1 April 2021</v>
      </c>
      <c r="C35" s="220">
        <f>+C7</f>
        <v>299.82146</v>
      </c>
      <c r="D35" s="220">
        <v>0</v>
      </c>
      <c r="E35" s="220">
        <f t="shared" ref="E35:H35" si="4">+E7</f>
        <v>1528</v>
      </c>
      <c r="F35" s="220">
        <f t="shared" si="4"/>
        <v>0</v>
      </c>
      <c r="G35" s="220">
        <f t="shared" si="4"/>
        <v>0</v>
      </c>
      <c r="H35" s="220">
        <f t="shared" si="4"/>
        <v>327</v>
      </c>
      <c r="I35" s="220">
        <v>3541</v>
      </c>
      <c r="J35" s="220">
        <v>0</v>
      </c>
      <c r="K35" s="220">
        <f>SUM(C35:J35)</f>
        <v>5695.8214600000001</v>
      </c>
      <c r="L35" s="316"/>
      <c r="M35" s="316"/>
    </row>
    <row r="36" spans="1:13" s="185" customFormat="1" ht="14.1" hidden="1" customHeight="1" x14ac:dyDescent="0.2">
      <c r="A36" s="191"/>
      <c r="B36" s="316" t="s">
        <v>591</v>
      </c>
      <c r="C36" s="220">
        <v>426</v>
      </c>
      <c r="D36" s="220">
        <v>0</v>
      </c>
      <c r="E36" s="220">
        <v>0</v>
      </c>
      <c r="F36" s="220">
        <v>0</v>
      </c>
      <c r="G36" s="220">
        <v>0</v>
      </c>
      <c r="H36" s="220">
        <v>0</v>
      </c>
      <c r="I36" s="220">
        <v>0</v>
      </c>
      <c r="J36" s="220">
        <v>0</v>
      </c>
      <c r="K36" s="220">
        <f t="shared" ref="K36:K44" si="5">SUM(C36:J36)</f>
        <v>426</v>
      </c>
      <c r="L36" s="316"/>
      <c r="M36" s="274" t="s">
        <v>592</v>
      </c>
    </row>
    <row r="37" spans="1:13" s="184" customFormat="1" ht="14.1" hidden="1" customHeight="1" x14ac:dyDescent="0.2">
      <c r="A37" s="205"/>
      <c r="B37" s="422" t="s">
        <v>962</v>
      </c>
      <c r="C37" s="304">
        <f t="shared" ref="C37:I37" si="6">+C9</f>
        <v>0</v>
      </c>
      <c r="D37" s="304">
        <f t="shared" si="6"/>
        <v>0</v>
      </c>
      <c r="E37" s="304">
        <f t="shared" si="6"/>
        <v>0</v>
      </c>
      <c r="F37" s="304">
        <f t="shared" si="6"/>
        <v>0</v>
      </c>
      <c r="G37" s="304">
        <f t="shared" si="6"/>
        <v>0</v>
      </c>
      <c r="H37" s="304">
        <f t="shared" si="6"/>
        <v>0</v>
      </c>
      <c r="I37" s="304">
        <f t="shared" si="6"/>
        <v>0</v>
      </c>
      <c r="J37" s="219">
        <v>0</v>
      </c>
      <c r="K37" s="220">
        <f t="shared" si="5"/>
        <v>0</v>
      </c>
      <c r="L37" s="313"/>
      <c r="M37" s="313"/>
    </row>
    <row r="38" spans="1:13" s="184" customFormat="1" ht="14.1" customHeight="1" x14ac:dyDescent="0.2">
      <c r="A38" s="205"/>
      <c r="B38" s="422" t="s">
        <v>1114</v>
      </c>
      <c r="C38" s="304">
        <f t="shared" ref="C38:I38" si="7">+C10</f>
        <v>6</v>
      </c>
      <c r="D38" s="304">
        <f t="shared" si="7"/>
        <v>0</v>
      </c>
      <c r="E38" s="304">
        <f t="shared" si="7"/>
        <v>0</v>
      </c>
      <c r="F38" s="304">
        <f t="shared" si="7"/>
        <v>0</v>
      </c>
      <c r="G38" s="304">
        <f t="shared" si="7"/>
        <v>0</v>
      </c>
      <c r="H38" s="304">
        <f t="shared" si="7"/>
        <v>0</v>
      </c>
      <c r="I38" s="304">
        <f t="shared" si="7"/>
        <v>0</v>
      </c>
      <c r="J38" s="219">
        <v>0</v>
      </c>
      <c r="K38" s="220">
        <f t="shared" si="5"/>
        <v>6</v>
      </c>
      <c r="L38" s="313"/>
      <c r="M38" s="313"/>
    </row>
    <row r="39" spans="1:13" s="184" customFormat="1" ht="14.1" customHeight="1" x14ac:dyDescent="0.2">
      <c r="A39" s="205"/>
      <c r="B39" s="422" t="s">
        <v>1115</v>
      </c>
      <c r="C39" s="304">
        <f t="shared" ref="C39:H39" si="8">+C11</f>
        <v>7</v>
      </c>
      <c r="D39" s="304">
        <f t="shared" si="8"/>
        <v>0</v>
      </c>
      <c r="E39" s="304">
        <f t="shared" si="8"/>
        <v>426</v>
      </c>
      <c r="F39" s="304">
        <f t="shared" si="8"/>
        <v>0</v>
      </c>
      <c r="G39" s="304">
        <f t="shared" si="8"/>
        <v>0</v>
      </c>
      <c r="H39" s="304">
        <f t="shared" si="8"/>
        <v>207</v>
      </c>
      <c r="I39" s="304">
        <f>+I11-70</f>
        <v>534</v>
      </c>
      <c r="J39" s="219">
        <v>0</v>
      </c>
      <c r="K39" s="220">
        <f t="shared" si="5"/>
        <v>1174</v>
      </c>
      <c r="L39" s="313"/>
      <c r="M39" s="313"/>
    </row>
    <row r="40" spans="1:13" s="184" customFormat="1" ht="14.1" customHeight="1" x14ac:dyDescent="0.2">
      <c r="A40" s="205"/>
      <c r="B40" s="422" t="s">
        <v>1116</v>
      </c>
      <c r="C40" s="304">
        <f t="shared" ref="C40:I40" si="9">+C12</f>
        <v>-27</v>
      </c>
      <c r="D40" s="304">
        <f t="shared" si="9"/>
        <v>0</v>
      </c>
      <c r="E40" s="304">
        <f t="shared" si="9"/>
        <v>-425</v>
      </c>
      <c r="F40" s="304">
        <f t="shared" si="9"/>
        <v>0</v>
      </c>
      <c r="G40" s="304">
        <f t="shared" si="9"/>
        <v>0</v>
      </c>
      <c r="H40" s="304">
        <f t="shared" si="9"/>
        <v>-167</v>
      </c>
      <c r="I40" s="304">
        <f t="shared" si="9"/>
        <v>-39</v>
      </c>
      <c r="J40" s="219">
        <v>0</v>
      </c>
      <c r="K40" s="220">
        <f t="shared" si="5"/>
        <v>-658</v>
      </c>
      <c r="L40" s="313"/>
      <c r="M40" s="313"/>
    </row>
    <row r="41" spans="1:13" s="184" customFormat="1" ht="13.7" hidden="1" customHeight="1" x14ac:dyDescent="0.2">
      <c r="A41" s="205"/>
      <c r="B41" s="183" t="s">
        <v>1117</v>
      </c>
      <c r="C41" s="304">
        <f t="shared" ref="C41:I41" si="10">+C13</f>
        <v>0</v>
      </c>
      <c r="D41" s="304">
        <f t="shared" si="10"/>
        <v>0</v>
      </c>
      <c r="E41" s="304">
        <f t="shared" si="10"/>
        <v>0</v>
      </c>
      <c r="F41" s="304">
        <f t="shared" si="10"/>
        <v>0</v>
      </c>
      <c r="G41" s="304">
        <f t="shared" si="10"/>
        <v>0</v>
      </c>
      <c r="H41" s="304">
        <f t="shared" si="10"/>
        <v>0</v>
      </c>
      <c r="I41" s="304">
        <f t="shared" si="10"/>
        <v>0</v>
      </c>
      <c r="J41" s="219">
        <v>0</v>
      </c>
      <c r="K41" s="220">
        <f t="shared" si="5"/>
        <v>0</v>
      </c>
      <c r="L41" s="313"/>
      <c r="M41" s="313"/>
    </row>
    <row r="42" spans="1:13" s="184" customFormat="1" ht="14.1" customHeight="1" x14ac:dyDescent="0.2">
      <c r="A42" s="205"/>
      <c r="B42" s="422" t="s">
        <v>1118</v>
      </c>
      <c r="C42" s="304">
        <f t="shared" ref="C42:I42" si="11">+C14</f>
        <v>0</v>
      </c>
      <c r="D42" s="304">
        <f t="shared" si="11"/>
        <v>0</v>
      </c>
      <c r="E42" s="304">
        <f t="shared" si="11"/>
        <v>-50</v>
      </c>
      <c r="F42" s="304">
        <f t="shared" si="11"/>
        <v>0</v>
      </c>
      <c r="G42" s="304">
        <f t="shared" si="11"/>
        <v>0</v>
      </c>
      <c r="H42" s="304">
        <f t="shared" si="11"/>
        <v>0</v>
      </c>
      <c r="I42" s="304">
        <f t="shared" si="11"/>
        <v>-552</v>
      </c>
      <c r="J42" s="219">
        <v>0</v>
      </c>
      <c r="K42" s="220">
        <f t="shared" si="5"/>
        <v>-602</v>
      </c>
      <c r="L42" s="313"/>
      <c r="M42" s="313"/>
    </row>
    <row r="43" spans="1:13" s="184" customFormat="1" ht="14.1" customHeight="1" x14ac:dyDescent="0.2">
      <c r="A43" s="205"/>
      <c r="B43" s="422" t="s">
        <v>1119</v>
      </c>
      <c r="C43" s="304">
        <f t="shared" ref="C43:I43" si="12">+C15</f>
        <v>-3</v>
      </c>
      <c r="D43" s="304">
        <f t="shared" si="12"/>
        <v>0</v>
      </c>
      <c r="E43" s="304">
        <f t="shared" si="12"/>
        <v>0</v>
      </c>
      <c r="F43" s="304">
        <f t="shared" si="12"/>
        <v>0</v>
      </c>
      <c r="G43" s="304">
        <f t="shared" si="12"/>
        <v>0</v>
      </c>
      <c r="H43" s="304">
        <f t="shared" si="12"/>
        <v>0</v>
      </c>
      <c r="I43" s="304">
        <f t="shared" si="12"/>
        <v>0</v>
      </c>
      <c r="J43" s="219">
        <v>0</v>
      </c>
      <c r="K43" s="220">
        <f t="shared" si="5"/>
        <v>-3</v>
      </c>
      <c r="L43" s="313"/>
      <c r="M43" s="313"/>
    </row>
    <row r="44" spans="1:13" s="185" customFormat="1" ht="14.1" hidden="1" customHeight="1" x14ac:dyDescent="0.2">
      <c r="A44" s="191"/>
      <c r="B44" s="422" t="s">
        <v>1120</v>
      </c>
      <c r="C44" s="304">
        <f t="shared" ref="C44:I44" si="13">+C16</f>
        <v>0</v>
      </c>
      <c r="D44" s="304">
        <f t="shared" si="13"/>
        <v>0</v>
      </c>
      <c r="E44" s="304">
        <f t="shared" si="13"/>
        <v>0</v>
      </c>
      <c r="F44" s="304">
        <f t="shared" si="13"/>
        <v>0</v>
      </c>
      <c r="G44" s="304">
        <f t="shared" si="13"/>
        <v>0</v>
      </c>
      <c r="H44" s="304">
        <f t="shared" si="13"/>
        <v>0</v>
      </c>
      <c r="I44" s="304">
        <f t="shared" si="13"/>
        <v>0</v>
      </c>
      <c r="J44" s="219">
        <v>0</v>
      </c>
      <c r="K44" s="220">
        <f t="shared" si="5"/>
        <v>0</v>
      </c>
      <c r="L44" s="316"/>
      <c r="M44" s="316"/>
    </row>
    <row r="45" spans="1:13" s="185" customFormat="1" ht="14.1" customHeight="1" thickBot="1" x14ac:dyDescent="0.25">
      <c r="A45" s="191"/>
      <c r="B45" s="289" t="str">
        <f>"At " &amp; TEXT(CurrentYearEnd, "d mmmm yyyy")</f>
        <v>At 31 March 2022</v>
      </c>
      <c r="C45" s="206">
        <f t="shared" ref="C45:K45" si="14">SUM(C35:C44)</f>
        <v>708.82146</v>
      </c>
      <c r="D45" s="206">
        <f t="shared" si="14"/>
        <v>0</v>
      </c>
      <c r="E45" s="206">
        <f t="shared" si="14"/>
        <v>1479</v>
      </c>
      <c r="F45" s="206">
        <f t="shared" si="14"/>
        <v>0</v>
      </c>
      <c r="G45" s="206">
        <f t="shared" si="14"/>
        <v>0</v>
      </c>
      <c r="H45" s="206">
        <f>SUM(H35:H44)</f>
        <v>367</v>
      </c>
      <c r="I45" s="206">
        <f t="shared" si="14"/>
        <v>3484</v>
      </c>
      <c r="J45" s="206">
        <f t="shared" si="14"/>
        <v>0</v>
      </c>
      <c r="K45" s="206">
        <f t="shared" si="14"/>
        <v>6038.8214600000001</v>
      </c>
      <c r="L45" s="316"/>
      <c r="M45" s="316"/>
    </row>
    <row r="46" spans="1:13" s="184" customFormat="1" ht="14.1" customHeight="1" thickTop="1" x14ac:dyDescent="0.2">
      <c r="A46" s="205"/>
      <c r="B46" s="316" t="s">
        <v>1121</v>
      </c>
      <c r="C46" s="219"/>
      <c r="D46" s="219"/>
      <c r="E46" s="219"/>
      <c r="F46" s="219"/>
      <c r="G46" s="219"/>
      <c r="H46" s="219"/>
      <c r="I46" s="219"/>
      <c r="J46" s="219"/>
      <c r="K46" s="219"/>
      <c r="L46" s="313"/>
      <c r="M46" s="313"/>
    </row>
    <row r="47" spans="1:13" s="184" customFormat="1" ht="13.7" customHeight="1" x14ac:dyDescent="0.2">
      <c r="A47" s="205"/>
      <c r="B47" s="417" t="s">
        <v>906</v>
      </c>
      <c r="C47" s="304">
        <f t="shared" ref="C47:I47" si="15">+C19</f>
        <v>23</v>
      </c>
      <c r="D47" s="304">
        <f t="shared" si="15"/>
        <v>0</v>
      </c>
      <c r="E47" s="304">
        <f t="shared" si="15"/>
        <v>1479</v>
      </c>
      <c r="F47" s="304">
        <f t="shared" si="15"/>
        <v>0</v>
      </c>
      <c r="G47" s="304">
        <f t="shared" si="15"/>
        <v>0</v>
      </c>
      <c r="H47" s="304">
        <f t="shared" si="15"/>
        <v>367</v>
      </c>
      <c r="I47" s="304">
        <f t="shared" si="15"/>
        <v>1140</v>
      </c>
      <c r="J47" s="219">
        <v>0</v>
      </c>
      <c r="K47" s="220">
        <f t="shared" ref="K47:K49" si="16">SUM(C47:J47)</f>
        <v>3009</v>
      </c>
      <c r="L47" s="313"/>
      <c r="M47" s="313"/>
    </row>
    <row r="48" spans="1:13" s="184" customFormat="1" ht="14.1" customHeight="1" x14ac:dyDescent="0.2">
      <c r="A48" s="205"/>
      <c r="B48" s="214" t="s">
        <v>907</v>
      </c>
      <c r="C48" s="304">
        <f t="shared" ref="C48:H48" si="17">+C20</f>
        <v>107</v>
      </c>
      <c r="D48" s="304">
        <f t="shared" si="17"/>
        <v>0</v>
      </c>
      <c r="E48" s="304">
        <f t="shared" si="17"/>
        <v>0</v>
      </c>
      <c r="F48" s="304">
        <f t="shared" si="17"/>
        <v>0</v>
      </c>
      <c r="G48" s="304">
        <f t="shared" si="17"/>
        <v>0</v>
      </c>
      <c r="H48" s="304">
        <f t="shared" si="17"/>
        <v>0</v>
      </c>
      <c r="I48" s="304">
        <f>+I20-77</f>
        <v>1143</v>
      </c>
      <c r="J48" s="219">
        <v>0</v>
      </c>
      <c r="K48" s="220">
        <f t="shared" si="16"/>
        <v>1250</v>
      </c>
      <c r="L48" s="313"/>
      <c r="M48" s="313"/>
    </row>
    <row r="49" spans="1:13" s="185" customFormat="1" ht="14.1" customHeight="1" x14ac:dyDescent="0.2">
      <c r="A49" s="191"/>
      <c r="B49" s="417" t="s">
        <v>908</v>
      </c>
      <c r="C49" s="304">
        <f t="shared" ref="C49:H49" si="18">+C21</f>
        <v>152.82146</v>
      </c>
      <c r="D49" s="304">
        <f t="shared" si="18"/>
        <v>0</v>
      </c>
      <c r="E49" s="304">
        <f t="shared" si="18"/>
        <v>0</v>
      </c>
      <c r="F49" s="304">
        <f t="shared" si="18"/>
        <v>0</v>
      </c>
      <c r="G49" s="304">
        <f t="shared" si="18"/>
        <v>0</v>
      </c>
      <c r="H49" s="304">
        <f t="shared" si="18"/>
        <v>0</v>
      </c>
      <c r="I49" s="304">
        <f>+I21-65</f>
        <v>1200.6999999999998</v>
      </c>
      <c r="J49" s="219">
        <v>0</v>
      </c>
      <c r="K49" s="220">
        <f t="shared" si="16"/>
        <v>1353.5214599999999</v>
      </c>
      <c r="L49" s="316"/>
      <c r="M49" s="316"/>
    </row>
    <row r="50" spans="1:13" s="184" customFormat="1" ht="14.1" customHeight="1" thickBot="1" x14ac:dyDescent="0.25">
      <c r="A50" s="205"/>
      <c r="B50" s="289" t="s">
        <v>589</v>
      </c>
      <c r="C50" s="206">
        <f>SUM(C47:C49)</f>
        <v>282.82146</v>
      </c>
      <c r="D50" s="206">
        <f t="shared" ref="D50:I50" si="19">SUM(D47:D49)</f>
        <v>0</v>
      </c>
      <c r="E50" s="206">
        <f t="shared" si="19"/>
        <v>1479</v>
      </c>
      <c r="F50" s="206">
        <f t="shared" si="19"/>
        <v>0</v>
      </c>
      <c r="G50" s="206">
        <f t="shared" si="19"/>
        <v>0</v>
      </c>
      <c r="H50" s="206">
        <f t="shared" si="19"/>
        <v>367</v>
      </c>
      <c r="I50" s="206">
        <f t="shared" si="19"/>
        <v>3483.7</v>
      </c>
      <c r="J50" s="206">
        <f>SUM(J47:J49)</f>
        <v>0</v>
      </c>
      <c r="K50" s="206">
        <f t="shared" ref="K50" si="20">SUM(K47:K49)</f>
        <v>5612.5214599999999</v>
      </c>
      <c r="L50" s="313"/>
      <c r="M50" s="313"/>
    </row>
    <row r="51" spans="1:13" s="184" customFormat="1" ht="14.1" customHeight="1" thickTop="1" x14ac:dyDescent="0.2">
      <c r="A51" s="205"/>
      <c r="B51" s="473"/>
      <c r="C51" s="473"/>
      <c r="D51" s="473"/>
      <c r="E51" s="473"/>
      <c r="F51" s="473"/>
      <c r="G51" s="473"/>
      <c r="H51" s="473"/>
      <c r="I51" s="473"/>
      <c r="J51" s="473"/>
      <c r="K51" s="473"/>
    </row>
    <row r="52" spans="1:13" s="184" customFormat="1" ht="14.1" customHeight="1" x14ac:dyDescent="0.2">
      <c r="A52" s="205"/>
      <c r="B52" s="473"/>
      <c r="C52" s="473"/>
      <c r="D52" s="473"/>
      <c r="E52" s="473"/>
      <c r="F52" s="473"/>
      <c r="G52" s="473"/>
      <c r="H52" s="473"/>
      <c r="I52" s="473"/>
      <c r="J52" s="473"/>
      <c r="K52" s="473"/>
    </row>
    <row r="53" spans="1:13" s="184" customFormat="1" ht="14.1" customHeight="1" x14ac:dyDescent="0.2">
      <c r="A53" s="205"/>
      <c r="B53" s="473"/>
      <c r="C53" s="473"/>
      <c r="D53" s="473"/>
      <c r="E53" s="473"/>
      <c r="F53" s="473"/>
      <c r="G53" s="473"/>
      <c r="H53" s="473"/>
      <c r="I53" s="473"/>
      <c r="J53" s="473"/>
      <c r="K53" s="473"/>
    </row>
    <row r="54" spans="1:13" s="184" customFormat="1" ht="14.1" customHeight="1" x14ac:dyDescent="0.2">
      <c r="A54" s="205"/>
      <c r="B54" s="473"/>
      <c r="C54" s="473"/>
      <c r="D54" s="473"/>
      <c r="E54" s="473"/>
      <c r="F54" s="473"/>
      <c r="G54" s="473"/>
      <c r="H54" s="473"/>
      <c r="I54" s="473"/>
      <c r="J54" s="473"/>
      <c r="K54" s="473"/>
    </row>
    <row r="55" spans="1:13" s="184" customFormat="1" ht="14.1" customHeight="1" x14ac:dyDescent="0.2">
      <c r="A55" s="205"/>
      <c r="B55" s="473"/>
      <c r="C55" s="473"/>
      <c r="D55" s="473"/>
      <c r="E55" s="473"/>
      <c r="F55" s="473"/>
      <c r="G55" s="473"/>
      <c r="H55" s="473"/>
      <c r="I55" s="473"/>
      <c r="J55" s="473"/>
      <c r="K55" s="473"/>
    </row>
    <row r="57" spans="1:13" ht="24" customHeight="1" x14ac:dyDescent="0.2">
      <c r="A57" s="205"/>
      <c r="B57" s="445"/>
      <c r="C57" s="445"/>
      <c r="D57" s="445"/>
      <c r="E57" s="445"/>
      <c r="F57" s="445"/>
      <c r="G57" s="445"/>
      <c r="H57" s="445"/>
      <c r="I57" s="445"/>
      <c r="J57" s="445"/>
      <c r="K57" s="445"/>
    </row>
  </sheetData>
  <customSheetViews>
    <customSheetView guid="{EDC1BD6E-863A-4FC6-A3A9-F32079F4F0C1}">
      <selection activeCell="Q26" sqref="Q26"/>
      <pageMargins left="0" right="0" top="0" bottom="0" header="0" footer="0"/>
      <pageSetup paperSize="9" orientation="landscape" verticalDpi="0" r:id="rId1"/>
    </customSheetView>
  </customSheetViews>
  <mergeCells count="4">
    <mergeCell ref="B24:K28"/>
    <mergeCell ref="B51:K55"/>
    <mergeCell ref="B57:K57"/>
    <mergeCell ref="B29:K29"/>
  </mergeCells>
  <pageMargins left="0.70866141732283472" right="0.70866141732283472" top="0.74803149606299213" bottom="0.74803149606299213" header="0.31496062992125984" footer="0.31496062992125984"/>
  <pageSetup paperSize="9" scale="85" orientation="portrait" verticalDpi="0" r:id="rId2"/>
  <headerFooter>
    <oddFooter>&amp;RPage &amp;P of &amp;N</oddFooter>
  </headerFooter>
  <rowBreaks count="1" manualBreakCount="1">
    <brk id="30" max="16383" man="1"/>
  </rowBreaks>
  <ignoredErrors>
    <ignoredError sqref="C6:K6"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8">
    <pageSetUpPr fitToPage="1"/>
  </sheetPr>
  <dimension ref="A1:I68"/>
  <sheetViews>
    <sheetView showGridLines="0" zoomScale="90" zoomScaleNormal="90" workbookViewId="0"/>
  </sheetViews>
  <sheetFormatPr defaultColWidth="9.140625" defaultRowHeight="14.1" customHeight="1" x14ac:dyDescent="0.2"/>
  <cols>
    <col min="1" max="1" width="1.42578125" style="38" customWidth="1"/>
    <col min="2" max="2" width="40.140625" style="21" customWidth="1"/>
    <col min="3" max="3" width="10.7109375" style="21" customWidth="1"/>
    <col min="4" max="4" width="0.7109375" style="21" customWidth="1"/>
    <col min="5" max="5" width="10.7109375" style="21" customWidth="1"/>
    <col min="6" max="6" width="1" style="21" customWidth="1"/>
    <col min="7" max="7" width="10.7109375" style="184" customWidth="1"/>
    <col min="8" max="8" width="0.7109375" style="184" customWidth="1"/>
    <col min="9" max="9" width="10.7109375" style="184" customWidth="1"/>
    <col min="10" max="16384" width="9.140625" style="21"/>
  </cols>
  <sheetData>
    <row r="1" spans="1:9" s="313" customFormat="1" ht="14.1" customHeight="1" x14ac:dyDescent="0.2">
      <c r="A1" s="350" t="s">
        <v>1310</v>
      </c>
      <c r="B1" s="351"/>
      <c r="C1" s="351"/>
      <c r="D1" s="351"/>
      <c r="E1" s="351"/>
      <c r="F1" s="351"/>
      <c r="G1" s="351"/>
      <c r="H1" s="351"/>
      <c r="I1" s="351"/>
    </row>
    <row r="2" spans="1:9" s="313" customFormat="1" ht="14.1" customHeight="1" x14ac:dyDescent="0.2">
      <c r="A2" s="205"/>
    </row>
    <row r="3" spans="1:9" ht="14.1" customHeight="1" x14ac:dyDescent="0.2">
      <c r="A3" s="205">
        <f>Provisions!A31+0.1</f>
        <v>27.300000000000004</v>
      </c>
      <c r="B3" s="316" t="str">
        <f>"Note "&amp;A3&amp; " Clinical negligence liabilities"</f>
        <v>Note 27.3 Clinical negligence liabilities</v>
      </c>
      <c r="C3" s="313"/>
      <c r="D3" s="313"/>
      <c r="E3" s="313"/>
      <c r="F3" s="313"/>
      <c r="G3" s="313"/>
      <c r="H3" s="313"/>
      <c r="I3" s="313"/>
    </row>
    <row r="5" spans="1:9" ht="14.1" customHeight="1" x14ac:dyDescent="0.2">
      <c r="A5" s="205"/>
      <c r="B5" s="459" t="s">
        <v>1475</v>
      </c>
      <c r="C5" s="459"/>
      <c r="D5" s="459"/>
      <c r="E5" s="459"/>
      <c r="F5" s="459"/>
      <c r="G5" s="459"/>
      <c r="H5" s="459"/>
      <c r="I5" s="459"/>
    </row>
    <row r="6" spans="1:9" ht="14.1" customHeight="1" x14ac:dyDescent="0.2">
      <c r="A6" s="205"/>
      <c r="B6" s="459"/>
      <c r="C6" s="459"/>
      <c r="D6" s="459"/>
      <c r="E6" s="459"/>
      <c r="F6" s="459"/>
      <c r="G6" s="459"/>
      <c r="H6" s="459"/>
      <c r="I6" s="459"/>
    </row>
    <row r="9" spans="1:9" ht="14.1" hidden="1" customHeight="1" x14ac:dyDescent="0.2">
      <c r="A9" s="205">
        <f>ROUNDDOWN(A3,0)+1</f>
        <v>28</v>
      </c>
      <c r="B9" s="316" t="str">
        <f>"Note "&amp;A9&amp; " Contingent assets and liabilities"</f>
        <v>Note 28 Contingent assets and liabilities</v>
      </c>
      <c r="C9" s="326"/>
      <c r="D9" s="326"/>
      <c r="E9" s="326"/>
      <c r="F9" s="313"/>
      <c r="G9" s="326"/>
      <c r="H9" s="326"/>
      <c r="I9" s="326"/>
    </row>
    <row r="10" spans="1:9" s="224" customFormat="1" ht="14.1" hidden="1" customHeight="1" x14ac:dyDescent="0.2">
      <c r="A10" s="205"/>
      <c r="B10" s="316"/>
      <c r="C10" s="460" t="s">
        <v>500</v>
      </c>
      <c r="D10" s="460"/>
      <c r="E10" s="460"/>
      <c r="F10" s="313"/>
      <c r="G10" s="460" t="s">
        <v>94</v>
      </c>
      <c r="H10" s="460"/>
      <c r="I10" s="460"/>
    </row>
    <row r="11" spans="1:9" ht="28.35" hidden="1" customHeight="1" x14ac:dyDescent="0.2">
      <c r="A11" s="205"/>
      <c r="B11" s="313"/>
      <c r="C11" s="290" t="str">
        <f>TEXT(CurrentYearEnd, "d mmmm yyyy")</f>
        <v>31 March 2022</v>
      </c>
      <c r="D11" s="290"/>
      <c r="E11" s="290" t="str">
        <f>TEXT(ComparativeYearEnd, "d mmmm yyyy")</f>
        <v>31 March 2021</v>
      </c>
      <c r="F11" s="313"/>
      <c r="G11" s="290" t="str">
        <f>TEXT(CurrentYearEnd, "d mmmm yyyy")</f>
        <v>31 March 2022</v>
      </c>
      <c r="H11" s="290"/>
      <c r="I11" s="290" t="str">
        <f>TEXT(ComparativeYearEnd, "d mmmm yyyy")</f>
        <v>31 March 2021</v>
      </c>
    </row>
    <row r="12" spans="1:9" ht="14.1" hidden="1" customHeight="1" x14ac:dyDescent="0.2">
      <c r="A12" s="205"/>
      <c r="B12" s="313"/>
      <c r="C12" s="290" t="s">
        <v>590</v>
      </c>
      <c r="D12" s="290"/>
      <c r="E12" s="290" t="s">
        <v>590</v>
      </c>
      <c r="F12" s="313"/>
      <c r="G12" s="290" t="s">
        <v>590</v>
      </c>
      <c r="H12" s="290"/>
      <c r="I12" s="290" t="s">
        <v>590</v>
      </c>
    </row>
    <row r="13" spans="1:9" ht="14.1" hidden="1" customHeight="1" x14ac:dyDescent="0.2">
      <c r="A13" s="205"/>
      <c r="B13" s="316" t="s">
        <v>1122</v>
      </c>
      <c r="C13" s="199"/>
      <c r="D13" s="199"/>
      <c r="E13" s="199"/>
      <c r="F13" s="313"/>
      <c r="G13" s="199"/>
      <c r="H13" s="199"/>
      <c r="I13" s="199"/>
    </row>
    <row r="14" spans="1:9" ht="14.1" hidden="1" customHeight="1" x14ac:dyDescent="0.2">
      <c r="A14" s="205"/>
      <c r="B14" s="327" t="s">
        <v>1123</v>
      </c>
      <c r="C14" s="219">
        <v>0</v>
      </c>
      <c r="D14" s="219"/>
      <c r="E14" s="219">
        <v>0</v>
      </c>
      <c r="F14" s="313"/>
      <c r="G14" s="219"/>
      <c r="H14" s="219"/>
      <c r="I14" s="219"/>
    </row>
    <row r="15" spans="1:9" ht="24" hidden="1" x14ac:dyDescent="0.2">
      <c r="A15" s="205"/>
      <c r="B15" s="327" t="s">
        <v>1124</v>
      </c>
      <c r="C15" s="219">
        <v>0</v>
      </c>
      <c r="D15" s="219"/>
      <c r="E15" s="219">
        <v>0</v>
      </c>
      <c r="F15" s="313"/>
      <c r="G15" s="219"/>
      <c r="H15" s="219"/>
      <c r="I15" s="219"/>
    </row>
    <row r="16" spans="1:9" ht="14.1" hidden="1" customHeight="1" x14ac:dyDescent="0.2">
      <c r="A16" s="205"/>
      <c r="B16" s="327" t="s">
        <v>1112</v>
      </c>
      <c r="C16" s="219">
        <v>0</v>
      </c>
      <c r="D16" s="219"/>
      <c r="E16" s="219">
        <v>0</v>
      </c>
      <c r="F16" s="313"/>
      <c r="G16" s="219"/>
      <c r="H16" s="219"/>
      <c r="I16" s="219"/>
    </row>
    <row r="17" spans="1:9" ht="14.1" hidden="1" customHeight="1" x14ac:dyDescent="0.2">
      <c r="A17" s="205"/>
      <c r="B17" s="327" t="s">
        <v>860</v>
      </c>
      <c r="C17" s="219">
        <v>0</v>
      </c>
      <c r="D17" s="219"/>
      <c r="E17" s="219">
        <v>0</v>
      </c>
      <c r="F17" s="313"/>
      <c r="G17" s="219"/>
      <c r="H17" s="219"/>
      <c r="I17" s="219"/>
    </row>
    <row r="18" spans="1:9" ht="14.1" hidden="1" customHeight="1" x14ac:dyDescent="0.2">
      <c r="A18" s="205"/>
      <c r="B18" s="289" t="s">
        <v>1125</v>
      </c>
      <c r="C18" s="207">
        <f>SUM(C13:C17)</f>
        <v>0</v>
      </c>
      <c r="D18" s="219">
        <v>0</v>
      </c>
      <c r="E18" s="207">
        <f>SUM(E13:E17)</f>
        <v>0</v>
      </c>
      <c r="F18" s="313"/>
      <c r="G18" s="207">
        <f>SUM(G13:G17)</f>
        <v>0</v>
      </c>
      <c r="H18" s="219">
        <v>0</v>
      </c>
      <c r="I18" s="207">
        <f>SUM(I13:I17)</f>
        <v>0</v>
      </c>
    </row>
    <row r="19" spans="1:9" ht="14.1" hidden="1" customHeight="1" x14ac:dyDescent="0.2">
      <c r="A19" s="205"/>
      <c r="B19" s="327" t="s">
        <v>1126</v>
      </c>
      <c r="C19" s="219">
        <v>0</v>
      </c>
      <c r="D19" s="219"/>
      <c r="E19" s="219">
        <v>0</v>
      </c>
      <c r="F19" s="313"/>
      <c r="G19" s="219"/>
      <c r="H19" s="219"/>
      <c r="I19" s="219"/>
    </row>
    <row r="20" spans="1:9" ht="14.1" hidden="1" customHeight="1" thickBot="1" x14ac:dyDescent="0.25">
      <c r="A20" s="205"/>
      <c r="B20" s="289" t="s">
        <v>1127</v>
      </c>
      <c r="C20" s="206">
        <f>SUM(C18:C19)</f>
        <v>0</v>
      </c>
      <c r="D20" s="219"/>
      <c r="E20" s="206">
        <f>SUM(E18:E19)</f>
        <v>0</v>
      </c>
      <c r="F20" s="313"/>
      <c r="G20" s="206">
        <f>SUM(G18:G19)</f>
        <v>0</v>
      </c>
      <c r="H20" s="219">
        <v>0</v>
      </c>
      <c r="I20" s="206">
        <f>SUM(I18:I19)</f>
        <v>0</v>
      </c>
    </row>
    <row r="21" spans="1:9" ht="14.1" hidden="1" customHeight="1" thickTop="1" x14ac:dyDescent="0.2">
      <c r="A21" s="205"/>
      <c r="B21" s="326" t="s">
        <v>1128</v>
      </c>
      <c r="C21" s="220">
        <v>0</v>
      </c>
      <c r="D21" s="219"/>
      <c r="E21" s="220">
        <v>0</v>
      </c>
      <c r="F21" s="313"/>
      <c r="G21" s="220"/>
      <c r="H21" s="219"/>
      <c r="I21" s="220"/>
    </row>
    <row r="22" spans="1:9" ht="14.1" hidden="1" customHeight="1" x14ac:dyDescent="0.2">
      <c r="A22" s="205"/>
      <c r="B22" s="313"/>
      <c r="C22" s="313"/>
      <c r="D22" s="219"/>
      <c r="E22" s="313"/>
      <c r="F22" s="313"/>
      <c r="G22" s="313"/>
      <c r="H22" s="219"/>
      <c r="I22" s="313"/>
    </row>
    <row r="23" spans="1:9" ht="14.1" hidden="1" customHeight="1" x14ac:dyDescent="0.2">
      <c r="A23" s="205"/>
      <c r="B23" s="453" t="s">
        <v>1129</v>
      </c>
      <c r="C23" s="453"/>
      <c r="D23" s="453"/>
      <c r="E23" s="453"/>
      <c r="F23" s="453"/>
      <c r="G23" s="453"/>
      <c r="H23" s="453"/>
      <c r="I23" s="453"/>
    </row>
    <row r="24" spans="1:9" ht="14.1" hidden="1" customHeight="1" x14ac:dyDescent="0.2">
      <c r="A24" s="205"/>
      <c r="B24" s="453"/>
      <c r="C24" s="453"/>
      <c r="D24" s="453"/>
      <c r="E24" s="453"/>
      <c r="F24" s="453"/>
      <c r="G24" s="453"/>
      <c r="H24" s="453"/>
      <c r="I24" s="453"/>
    </row>
    <row r="25" spans="1:9" ht="14.1" hidden="1" customHeight="1" x14ac:dyDescent="0.2">
      <c r="A25" s="205"/>
      <c r="B25" s="453"/>
      <c r="C25" s="453"/>
      <c r="D25" s="453"/>
      <c r="E25" s="453"/>
      <c r="F25" s="453"/>
      <c r="G25" s="453"/>
      <c r="H25" s="453"/>
      <c r="I25" s="453"/>
    </row>
    <row r="26" spans="1:9" ht="14.1" hidden="1" customHeight="1" x14ac:dyDescent="0.2">
      <c r="A26" s="205"/>
      <c r="B26" s="453"/>
      <c r="C26" s="453"/>
      <c r="D26" s="453"/>
      <c r="E26" s="453"/>
      <c r="F26" s="453"/>
      <c r="G26" s="453"/>
      <c r="H26" s="453"/>
      <c r="I26" s="453"/>
    </row>
    <row r="28" spans="1:9" ht="14.1" customHeight="1" x14ac:dyDescent="0.2">
      <c r="A28" s="205">
        <f>ROUNDDOWN(A3,0)+1</f>
        <v>28</v>
      </c>
      <c r="B28" s="316" t="str">
        <f>"Note "&amp;A28&amp; " Contractual capital commitments"</f>
        <v>Note 28 Contractual capital commitments</v>
      </c>
      <c r="C28" s="460"/>
      <c r="D28" s="460"/>
      <c r="E28" s="460"/>
      <c r="F28" s="313"/>
      <c r="G28" s="460"/>
      <c r="H28" s="460"/>
      <c r="I28" s="460"/>
    </row>
    <row r="29" spans="1:9" s="224" customFormat="1" ht="14.1" customHeight="1" x14ac:dyDescent="0.2">
      <c r="A29" s="205"/>
      <c r="B29" s="316"/>
      <c r="C29" s="460" t="s">
        <v>500</v>
      </c>
      <c r="D29" s="460"/>
      <c r="E29" s="460"/>
      <c r="F29" s="313"/>
      <c r="G29" s="460" t="s">
        <v>94</v>
      </c>
      <c r="H29" s="460"/>
      <c r="I29" s="460"/>
    </row>
    <row r="30" spans="1:9" ht="28.35" customHeight="1" x14ac:dyDescent="0.2">
      <c r="A30" s="205"/>
      <c r="B30" s="313"/>
      <c r="C30" s="290" t="str">
        <f>TEXT(CurrentYearEnd, "d mmmm yyyy")</f>
        <v>31 March 2022</v>
      </c>
      <c r="D30" s="290"/>
      <c r="E30" s="290" t="str">
        <f>TEXT(ComparativeYearEnd, "d mmmm yyyy")</f>
        <v>31 March 2021</v>
      </c>
      <c r="F30" s="313"/>
      <c r="G30" s="290" t="str">
        <f>TEXT(CurrentYearEnd, "d mmmm yyyy")</f>
        <v>31 March 2022</v>
      </c>
      <c r="H30" s="290"/>
      <c r="I30" s="290" t="str">
        <f>TEXT(ComparativeYearEnd, "d mmmm yyyy")</f>
        <v>31 March 2021</v>
      </c>
    </row>
    <row r="31" spans="1:9" ht="14.1" customHeight="1" x14ac:dyDescent="0.2">
      <c r="A31" s="205"/>
      <c r="B31" s="313"/>
      <c r="C31" s="186" t="s">
        <v>590</v>
      </c>
      <c r="D31" s="186"/>
      <c r="E31" s="186" t="s">
        <v>590</v>
      </c>
      <c r="F31" s="313"/>
      <c r="G31" s="186" t="s">
        <v>590</v>
      </c>
      <c r="H31" s="186"/>
      <c r="I31" s="186" t="s">
        <v>590</v>
      </c>
    </row>
    <row r="32" spans="1:9" ht="14.1" customHeight="1" x14ac:dyDescent="0.2">
      <c r="A32" s="205"/>
      <c r="B32" s="327" t="s">
        <v>550</v>
      </c>
      <c r="C32" s="219">
        <v>4284</v>
      </c>
      <c r="D32" s="219"/>
      <c r="E32" s="219">
        <v>2982</v>
      </c>
      <c r="F32" s="313"/>
      <c r="G32" s="209">
        <f>+C32-1512</f>
        <v>2772</v>
      </c>
      <c r="H32" s="209"/>
      <c r="I32" s="209">
        <f>+E32</f>
        <v>2982</v>
      </c>
    </row>
    <row r="33" spans="1:9" ht="14.1" customHeight="1" x14ac:dyDescent="0.2">
      <c r="A33" s="205"/>
      <c r="B33" s="327" t="s">
        <v>549</v>
      </c>
      <c r="C33" s="219">
        <v>183</v>
      </c>
      <c r="D33" s="219"/>
      <c r="E33" s="219">
        <v>983</v>
      </c>
      <c r="F33" s="313"/>
      <c r="G33" s="209">
        <f>+C33</f>
        <v>183</v>
      </c>
      <c r="H33" s="209"/>
      <c r="I33" s="209">
        <f>+E33</f>
        <v>983</v>
      </c>
    </row>
    <row r="34" spans="1:9" ht="14.1" customHeight="1" thickBot="1" x14ac:dyDescent="0.25">
      <c r="A34" s="205"/>
      <c r="B34" s="289" t="s">
        <v>589</v>
      </c>
      <c r="C34" s="206">
        <f>SUM(C32:C33)</f>
        <v>4467</v>
      </c>
      <c r="D34" s="219"/>
      <c r="E34" s="206">
        <f>SUM(E32:E33)</f>
        <v>3965</v>
      </c>
      <c r="F34" s="313"/>
      <c r="G34" s="211">
        <f>SUM(G32:G33)</f>
        <v>2955</v>
      </c>
      <c r="H34" s="209"/>
      <c r="I34" s="211">
        <f>SUM(I32:I33)</f>
        <v>3965</v>
      </c>
    </row>
    <row r="35" spans="1:9" ht="14.1" customHeight="1" thickTop="1" x14ac:dyDescent="0.2">
      <c r="A35" s="205"/>
      <c r="B35" s="313"/>
      <c r="C35" s="313"/>
      <c r="D35" s="313"/>
      <c r="E35" s="313"/>
      <c r="F35" s="313"/>
      <c r="G35" s="313"/>
      <c r="H35" s="313"/>
      <c r="I35" s="313"/>
    </row>
    <row r="37" spans="1:9" ht="14.1" hidden="1" customHeight="1" x14ac:dyDescent="0.2">
      <c r="A37" s="205">
        <f>ROUNDDOWN(A28,0)+1</f>
        <v>29</v>
      </c>
      <c r="B37" s="316" t="str">
        <f>"Note "&amp;A37&amp; " Other financial commitments"</f>
        <v>Note 29 Other financial commitments</v>
      </c>
      <c r="C37" s="460"/>
      <c r="D37" s="460"/>
      <c r="E37" s="460"/>
      <c r="F37" s="313"/>
      <c r="G37" s="460"/>
      <c r="H37" s="460"/>
      <c r="I37" s="460"/>
    </row>
    <row r="38" spans="1:9" s="235" customFormat="1" ht="40.700000000000003" hidden="1" customHeight="1" x14ac:dyDescent="0.2">
      <c r="A38" s="205"/>
      <c r="B38" s="466" t="s">
        <v>1130</v>
      </c>
      <c r="C38" s="466"/>
      <c r="D38" s="466"/>
      <c r="E38" s="466"/>
      <c r="F38" s="466"/>
      <c r="G38" s="466"/>
      <c r="H38" s="466"/>
      <c r="I38" s="466"/>
    </row>
    <row r="39" spans="1:9" s="235" customFormat="1" ht="14.1" hidden="1" customHeight="1" x14ac:dyDescent="0.2">
      <c r="A39" s="205"/>
      <c r="B39" s="316"/>
      <c r="C39" s="460" t="s">
        <v>500</v>
      </c>
      <c r="D39" s="460"/>
      <c r="E39" s="460"/>
      <c r="F39" s="313"/>
      <c r="G39" s="460" t="s">
        <v>94</v>
      </c>
      <c r="H39" s="460"/>
      <c r="I39" s="460"/>
    </row>
    <row r="40" spans="1:9" ht="27" hidden="1" customHeight="1" x14ac:dyDescent="0.2">
      <c r="A40" s="205"/>
      <c r="B40" s="313"/>
      <c r="C40" s="290" t="str">
        <f>TEXT(CurrentYearEnd, "d mmmm yyyy")</f>
        <v>31 March 2022</v>
      </c>
      <c r="D40" s="290"/>
      <c r="E40" s="290" t="str">
        <f>TEXT(ComparativeYearEnd, "d mmmm yyyy")</f>
        <v>31 March 2021</v>
      </c>
      <c r="F40" s="313"/>
      <c r="G40" s="290" t="str">
        <f>TEXT(CurrentYearEnd, "d mmmm yyyy")</f>
        <v>31 March 2022</v>
      </c>
      <c r="H40" s="290"/>
      <c r="I40" s="290" t="str">
        <f>TEXT(ComparativeYearEnd, "d mmmm yyyy")</f>
        <v>31 March 2021</v>
      </c>
    </row>
    <row r="41" spans="1:9" ht="14.1" hidden="1" customHeight="1" x14ac:dyDescent="0.2">
      <c r="A41" s="205"/>
      <c r="B41" s="313"/>
      <c r="C41" s="186" t="s">
        <v>590</v>
      </c>
      <c r="D41" s="186"/>
      <c r="E41" s="186" t="s">
        <v>590</v>
      </c>
      <c r="F41" s="313"/>
      <c r="G41" s="186" t="s">
        <v>590</v>
      </c>
      <c r="H41" s="186"/>
      <c r="I41" s="186" t="s">
        <v>590</v>
      </c>
    </row>
    <row r="42" spans="1:9" ht="14.1" hidden="1" customHeight="1" x14ac:dyDescent="0.2">
      <c r="A42" s="205"/>
      <c r="B42" s="327" t="s">
        <v>1131</v>
      </c>
      <c r="C42" s="219">
        <v>0</v>
      </c>
      <c r="D42" s="313"/>
      <c r="E42" s="219">
        <v>0</v>
      </c>
      <c r="F42" s="313"/>
      <c r="G42" s="219"/>
      <c r="H42" s="313"/>
      <c r="I42" s="219"/>
    </row>
    <row r="43" spans="1:9" ht="14.1" hidden="1" customHeight="1" x14ac:dyDescent="0.2">
      <c r="A43" s="205"/>
      <c r="B43" s="327" t="s">
        <v>1132</v>
      </c>
      <c r="C43" s="219">
        <v>0</v>
      </c>
      <c r="D43" s="313"/>
      <c r="E43" s="219">
        <v>0</v>
      </c>
      <c r="F43" s="313"/>
      <c r="G43" s="219"/>
      <c r="H43" s="313"/>
      <c r="I43" s="219"/>
    </row>
    <row r="44" spans="1:9" ht="14.1" hidden="1" customHeight="1" x14ac:dyDescent="0.2">
      <c r="A44" s="205"/>
      <c r="B44" s="327" t="s">
        <v>1133</v>
      </c>
      <c r="C44" s="219">
        <v>0</v>
      </c>
      <c r="D44" s="313"/>
      <c r="E44" s="219">
        <v>0</v>
      </c>
      <c r="F44" s="313"/>
      <c r="G44" s="219"/>
      <c r="H44" s="313"/>
      <c r="I44" s="219"/>
    </row>
    <row r="45" spans="1:9" ht="14.1" hidden="1" customHeight="1" thickBot="1" x14ac:dyDescent="0.25">
      <c r="A45" s="205"/>
      <c r="B45" s="170" t="s">
        <v>589</v>
      </c>
      <c r="C45" s="206">
        <f>SUM(C42:C44)</f>
        <v>0</v>
      </c>
      <c r="D45" s="313"/>
      <c r="E45" s="206">
        <f>SUM(E42:E44)</f>
        <v>0</v>
      </c>
      <c r="F45" s="313"/>
      <c r="G45" s="206">
        <f>SUM(G42:G44)</f>
        <v>0</v>
      </c>
      <c r="H45" s="313"/>
      <c r="I45" s="206">
        <f>SUM(I42:I44)</f>
        <v>0</v>
      </c>
    </row>
    <row r="46" spans="1:9" ht="14.1" hidden="1" customHeight="1" thickTop="1" x14ac:dyDescent="0.2">
      <c r="A46" s="205"/>
      <c r="B46" s="313"/>
      <c r="C46" s="313"/>
      <c r="D46" s="313"/>
      <c r="E46" s="313"/>
      <c r="F46" s="313"/>
      <c r="G46" s="313"/>
      <c r="H46" s="313"/>
      <c r="I46" s="313"/>
    </row>
    <row r="53" spans="1:9" ht="14.1" customHeight="1" x14ac:dyDescent="0.2">
      <c r="A53" s="313"/>
      <c r="B53" s="313"/>
      <c r="C53" s="313"/>
      <c r="D53" s="313"/>
      <c r="E53" s="313"/>
      <c r="F53" s="313"/>
      <c r="G53" s="313"/>
      <c r="H53" s="313"/>
      <c r="I53" s="313"/>
    </row>
    <row r="54" spans="1:9" ht="14.1" customHeight="1" x14ac:dyDescent="0.2">
      <c r="A54" s="313"/>
      <c r="B54" s="313"/>
      <c r="C54" s="313"/>
      <c r="D54" s="313"/>
      <c r="E54" s="313"/>
      <c r="F54" s="313"/>
      <c r="G54" s="313"/>
      <c r="H54" s="313"/>
      <c r="I54" s="313"/>
    </row>
    <row r="55" spans="1:9" ht="14.1" customHeight="1" x14ac:dyDescent="0.2">
      <c r="A55" s="313"/>
      <c r="B55" s="313"/>
      <c r="C55" s="313"/>
      <c r="D55" s="313"/>
      <c r="E55" s="313"/>
      <c r="F55" s="313"/>
      <c r="G55" s="313"/>
      <c r="H55" s="313"/>
      <c r="I55" s="313"/>
    </row>
    <row r="56" spans="1:9" ht="14.1" customHeight="1" x14ac:dyDescent="0.2">
      <c r="A56" s="313"/>
      <c r="B56" s="313"/>
      <c r="C56" s="313"/>
      <c r="D56" s="313"/>
      <c r="E56" s="313"/>
      <c r="F56" s="313"/>
      <c r="G56" s="313"/>
      <c r="H56" s="313"/>
      <c r="I56" s="313"/>
    </row>
    <row r="57" spans="1:9" ht="14.1" customHeight="1" x14ac:dyDescent="0.2">
      <c r="A57" s="313"/>
      <c r="B57" s="313"/>
      <c r="C57" s="313"/>
      <c r="D57" s="313"/>
      <c r="E57" s="313"/>
      <c r="F57" s="313"/>
      <c r="G57" s="313"/>
      <c r="H57" s="313"/>
      <c r="I57" s="313"/>
    </row>
    <row r="58" spans="1:9" ht="14.1" customHeight="1" x14ac:dyDescent="0.2">
      <c r="A58" s="313"/>
      <c r="B58" s="313"/>
      <c r="C58" s="313"/>
      <c r="D58" s="313"/>
      <c r="E58" s="313"/>
      <c r="F58" s="313"/>
      <c r="G58" s="313"/>
      <c r="H58" s="313"/>
      <c r="I58" s="313"/>
    </row>
    <row r="59" spans="1:9" ht="14.1" customHeight="1" x14ac:dyDescent="0.2">
      <c r="A59" s="313"/>
      <c r="B59" s="313"/>
      <c r="C59" s="313"/>
      <c r="D59" s="313"/>
      <c r="E59" s="313"/>
      <c r="F59" s="313"/>
      <c r="G59" s="313"/>
      <c r="H59" s="313"/>
      <c r="I59" s="313"/>
    </row>
    <row r="60" spans="1:9" ht="14.1" customHeight="1" x14ac:dyDescent="0.2">
      <c r="A60" s="313"/>
      <c r="B60" s="313"/>
      <c r="C60" s="313"/>
      <c r="D60" s="313"/>
      <c r="E60" s="313"/>
      <c r="F60" s="313"/>
      <c r="G60" s="313"/>
      <c r="H60" s="313"/>
      <c r="I60" s="313"/>
    </row>
    <row r="61" spans="1:9" ht="14.1" customHeight="1" x14ac:dyDescent="0.2">
      <c r="A61" s="313"/>
      <c r="B61" s="313"/>
      <c r="C61" s="313"/>
      <c r="D61" s="313"/>
      <c r="E61" s="313"/>
      <c r="F61" s="313"/>
      <c r="G61" s="313"/>
      <c r="H61" s="313"/>
      <c r="I61" s="313"/>
    </row>
    <row r="66" spans="1:9" ht="14.1" customHeight="1" x14ac:dyDescent="0.2">
      <c r="A66" s="313"/>
      <c r="B66" s="313"/>
      <c r="C66" s="313"/>
      <c r="D66" s="313"/>
      <c r="E66" s="313"/>
      <c r="F66" s="313"/>
      <c r="G66" s="313"/>
      <c r="H66" s="313"/>
      <c r="I66" s="313"/>
    </row>
    <row r="67" spans="1:9" ht="14.1" customHeight="1" x14ac:dyDescent="0.2">
      <c r="A67" s="313"/>
      <c r="B67" s="313"/>
      <c r="C67" s="313"/>
      <c r="D67" s="313"/>
      <c r="E67" s="313"/>
      <c r="F67" s="313"/>
      <c r="G67" s="313"/>
      <c r="H67" s="313"/>
      <c r="I67" s="313"/>
    </row>
    <row r="68" spans="1:9" ht="14.1" customHeight="1" x14ac:dyDescent="0.2">
      <c r="A68" s="313"/>
      <c r="B68" s="313"/>
      <c r="C68" s="313"/>
      <c r="D68" s="313"/>
      <c r="E68" s="313"/>
      <c r="F68" s="313"/>
      <c r="G68" s="313"/>
      <c r="H68" s="313"/>
      <c r="I68" s="313"/>
    </row>
  </sheetData>
  <customSheetViews>
    <customSheetView guid="{EDC1BD6E-863A-4FC6-A3A9-F32079F4F0C1}">
      <selection activeCell="O41" sqref="O41"/>
      <pageMargins left="0" right="0" top="0" bottom="0" header="0" footer="0"/>
      <pageSetup paperSize="9" orientation="portrait" verticalDpi="0" r:id="rId1"/>
    </customSheetView>
  </customSheetViews>
  <mergeCells count="13">
    <mergeCell ref="C39:E39"/>
    <mergeCell ref="G39:I39"/>
    <mergeCell ref="B38:I38"/>
    <mergeCell ref="B23:I26"/>
    <mergeCell ref="B5:I6"/>
    <mergeCell ref="C37:E37"/>
    <mergeCell ref="G37:I37"/>
    <mergeCell ref="C28:E28"/>
    <mergeCell ref="G28:I28"/>
    <mergeCell ref="C10:E10"/>
    <mergeCell ref="G10:I10"/>
    <mergeCell ref="C29:E29"/>
    <mergeCell ref="G29:I29"/>
  </mergeCells>
  <pageMargins left="0.70866141732283472" right="0.70866141732283472" top="0.74803149606299213" bottom="0.74803149606299213" header="0.31496062992125984" footer="0.31496062992125984"/>
  <pageSetup paperSize="9" fitToHeight="0" orientation="portrait" verticalDpi="0" r:id="rId2"/>
  <headerFooter>
    <oddFooter>&amp;RPage &amp;P of &amp;N</oddFooter>
  </headerFooter>
  <ignoredErrors>
    <ignoredError sqref="C31:I31"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24">
    <pageSetUpPr fitToPage="1"/>
  </sheetPr>
  <dimension ref="A1:K25"/>
  <sheetViews>
    <sheetView showGridLines="0" topLeftCell="A4" workbookViewId="0">
      <selection activeCell="B25" sqref="B25:K25"/>
    </sheetView>
  </sheetViews>
  <sheetFormatPr defaultColWidth="9.140625" defaultRowHeight="12" x14ac:dyDescent="0.2"/>
  <cols>
    <col min="1" max="1" width="0.7109375" style="38" customWidth="1"/>
    <col min="2" max="2" width="38.42578125" style="21" customWidth="1"/>
    <col min="3" max="3" width="10.140625" style="21" customWidth="1"/>
    <col min="4" max="4" width="1.140625" style="21" customWidth="1"/>
    <col min="5" max="5" width="8.140625" style="21" customWidth="1"/>
    <col min="6" max="6" width="0.85546875" style="21" customWidth="1"/>
    <col min="7" max="7" width="8.42578125" style="21" customWidth="1"/>
    <col min="8" max="8" width="0.85546875" style="21" customWidth="1"/>
    <col min="9" max="9" width="9.28515625" style="21" customWidth="1"/>
    <col min="10" max="10" width="0.85546875" style="21" customWidth="1"/>
    <col min="11" max="11" width="8.42578125" style="21" customWidth="1"/>
    <col min="12" max="16384" width="9.140625" style="21"/>
  </cols>
  <sheetData>
    <row r="1" spans="1:11" s="313" customFormat="1" ht="12.75" x14ac:dyDescent="0.2">
      <c r="A1" s="350" t="s">
        <v>1310</v>
      </c>
      <c r="B1" s="351"/>
      <c r="C1" s="351"/>
      <c r="D1" s="351"/>
      <c r="E1" s="351"/>
      <c r="F1" s="351"/>
      <c r="G1" s="351"/>
      <c r="H1" s="351"/>
      <c r="I1" s="351"/>
      <c r="J1" s="351"/>
      <c r="K1" s="351"/>
    </row>
    <row r="2" spans="1:11" s="313" customFormat="1" x14ac:dyDescent="0.2">
      <c r="A2" s="205"/>
    </row>
    <row r="3" spans="1:11" ht="14.1" customHeight="1" x14ac:dyDescent="0.2">
      <c r="A3" s="205">
        <f>ROUNDDOWN('C&amp;O'!A28,0)+1</f>
        <v>29</v>
      </c>
      <c r="B3" s="316" t="str">
        <f>"Note "&amp;A3&amp; " Financial instruments"</f>
        <v>Note 29 Financial instruments</v>
      </c>
      <c r="C3" s="313"/>
      <c r="D3" s="313"/>
      <c r="E3" s="313"/>
      <c r="F3" s="313"/>
      <c r="G3" s="313"/>
      <c r="H3" s="313"/>
      <c r="I3" s="313"/>
      <c r="J3" s="313"/>
      <c r="K3" s="313"/>
    </row>
    <row r="4" spans="1:11" ht="14.1" customHeight="1" x14ac:dyDescent="0.2">
      <c r="A4" s="205"/>
      <c r="B4" s="316"/>
      <c r="C4" s="313"/>
      <c r="D4" s="313"/>
      <c r="E4" s="313"/>
      <c r="F4" s="313"/>
      <c r="G4" s="313"/>
      <c r="H4" s="313"/>
      <c r="I4" s="313"/>
      <c r="J4" s="313"/>
      <c r="K4" s="313"/>
    </row>
    <row r="5" spans="1:11" ht="14.1" customHeight="1" x14ac:dyDescent="0.2">
      <c r="A5" s="205">
        <f>A3+0.1</f>
        <v>29.1</v>
      </c>
      <c r="B5" s="316" t="str">
        <f>"Note "&amp;A5&amp; " Financial risk management"</f>
        <v>Note 29.1 Financial risk management</v>
      </c>
      <c r="C5" s="313"/>
      <c r="D5" s="313"/>
      <c r="E5" s="313"/>
      <c r="F5" s="313"/>
      <c r="G5" s="313"/>
      <c r="H5" s="313"/>
      <c r="I5" s="313"/>
      <c r="J5" s="313"/>
      <c r="K5" s="313"/>
    </row>
    <row r="6" spans="1:11" ht="14.1" customHeight="1" x14ac:dyDescent="0.2">
      <c r="A6" s="205"/>
      <c r="B6" s="316"/>
      <c r="C6" s="313"/>
      <c r="D6" s="313"/>
      <c r="E6" s="313"/>
      <c r="F6" s="313"/>
      <c r="G6" s="313"/>
      <c r="H6" s="313"/>
      <c r="I6" s="313"/>
      <c r="J6" s="313"/>
      <c r="K6" s="313"/>
    </row>
    <row r="7" spans="1:11" ht="30.75" customHeight="1" x14ac:dyDescent="0.2">
      <c r="A7" s="205"/>
      <c r="B7" s="475" t="s">
        <v>1352</v>
      </c>
      <c r="C7" s="475"/>
      <c r="D7" s="475"/>
      <c r="E7" s="475"/>
      <c r="F7" s="475"/>
      <c r="G7" s="475"/>
      <c r="H7" s="475"/>
      <c r="I7" s="475"/>
      <c r="J7" s="475"/>
      <c r="K7" s="475"/>
    </row>
    <row r="8" spans="1:11" ht="12.75" x14ac:dyDescent="0.2">
      <c r="A8" s="205"/>
      <c r="B8" s="390"/>
      <c r="C8" s="208"/>
      <c r="D8" s="208"/>
      <c r="E8" s="208"/>
      <c r="F8" s="208"/>
      <c r="G8" s="208"/>
      <c r="H8" s="208"/>
      <c r="I8" s="208"/>
      <c r="J8" s="208"/>
      <c r="K8" s="208"/>
    </row>
    <row r="9" spans="1:11" ht="33.6" customHeight="1" x14ac:dyDescent="0.2">
      <c r="A9" s="205"/>
      <c r="B9" s="475" t="s">
        <v>1353</v>
      </c>
      <c r="C9" s="475"/>
      <c r="D9" s="475"/>
      <c r="E9" s="475"/>
      <c r="F9" s="475"/>
      <c r="G9" s="475"/>
      <c r="H9" s="475"/>
      <c r="I9" s="475"/>
      <c r="J9" s="475"/>
      <c r="K9" s="475"/>
    </row>
    <row r="10" spans="1:11" ht="12.75" x14ac:dyDescent="0.2">
      <c r="A10" s="205"/>
      <c r="B10" s="390"/>
      <c r="C10" s="208"/>
      <c r="D10" s="208"/>
      <c r="E10" s="208"/>
      <c r="F10" s="208"/>
      <c r="G10" s="208"/>
      <c r="H10" s="208"/>
      <c r="I10" s="208"/>
      <c r="J10" s="208"/>
      <c r="K10" s="208"/>
    </row>
    <row r="11" spans="1:11" ht="33.6" customHeight="1" x14ac:dyDescent="0.2">
      <c r="A11" s="205"/>
      <c r="B11" s="475" t="s">
        <v>1354</v>
      </c>
      <c r="C11" s="475"/>
      <c r="D11" s="475"/>
      <c r="E11" s="475"/>
      <c r="F11" s="475"/>
      <c r="G11" s="475"/>
      <c r="H11" s="475"/>
      <c r="I11" s="475"/>
      <c r="J11" s="475"/>
      <c r="K11" s="475"/>
    </row>
    <row r="12" spans="1:11" x14ac:dyDescent="0.2">
      <c r="A12" s="205"/>
      <c r="B12" s="391"/>
      <c r="C12" s="208"/>
      <c r="D12" s="208"/>
      <c r="E12" s="208"/>
      <c r="F12" s="208"/>
      <c r="G12" s="208"/>
      <c r="H12" s="208"/>
      <c r="I12" s="208"/>
      <c r="J12" s="208"/>
      <c r="K12" s="208"/>
    </row>
    <row r="13" spans="1:11" x14ac:dyDescent="0.2">
      <c r="A13" s="205"/>
      <c r="B13" s="392" t="s">
        <v>1355</v>
      </c>
      <c r="C13" s="208"/>
      <c r="D13" s="208"/>
      <c r="E13" s="208"/>
      <c r="F13" s="208"/>
      <c r="G13" s="208"/>
      <c r="H13" s="208"/>
      <c r="I13" s="208"/>
      <c r="J13" s="208"/>
      <c r="K13" s="208"/>
    </row>
    <row r="14" spans="1:11" s="146" customFormat="1" ht="11.1" customHeight="1" x14ac:dyDescent="0.25">
      <c r="A14" s="205"/>
      <c r="B14" s="393"/>
      <c r="C14" s="208"/>
      <c r="D14" s="208"/>
      <c r="E14" s="208"/>
      <c r="F14" s="208"/>
      <c r="G14" s="208"/>
      <c r="H14" s="208"/>
      <c r="I14" s="208"/>
      <c r="J14" s="208"/>
      <c r="K14" s="208"/>
    </row>
    <row r="15" spans="1:11" ht="46.5" customHeight="1" x14ac:dyDescent="0.2">
      <c r="A15" s="205"/>
      <c r="B15" s="474" t="s">
        <v>1356</v>
      </c>
      <c r="C15" s="474"/>
      <c r="D15" s="474"/>
      <c r="E15" s="474"/>
      <c r="F15" s="474"/>
      <c r="G15" s="474"/>
      <c r="H15" s="474"/>
      <c r="I15" s="474"/>
      <c r="J15" s="474"/>
      <c r="K15" s="474"/>
    </row>
    <row r="16" spans="1:11" ht="12.75" x14ac:dyDescent="0.2">
      <c r="A16" s="205"/>
      <c r="B16" s="357"/>
      <c r="C16" s="208"/>
      <c r="D16" s="208"/>
      <c r="E16" s="208"/>
      <c r="F16" s="208"/>
      <c r="G16" s="208"/>
      <c r="H16" s="208"/>
      <c r="I16" s="208"/>
      <c r="J16" s="208"/>
      <c r="K16" s="208"/>
    </row>
    <row r="17" spans="1:11" x14ac:dyDescent="0.2">
      <c r="A17" s="205"/>
      <c r="B17" s="376" t="s">
        <v>1357</v>
      </c>
      <c r="C17" s="208"/>
      <c r="D17" s="208"/>
      <c r="E17" s="208"/>
      <c r="F17" s="208"/>
      <c r="G17" s="208"/>
      <c r="H17" s="208"/>
      <c r="I17" s="208"/>
      <c r="J17" s="208"/>
      <c r="K17" s="208"/>
    </row>
    <row r="18" spans="1:11" ht="12.75" x14ac:dyDescent="0.2">
      <c r="A18" s="205"/>
      <c r="B18" s="394"/>
      <c r="C18" s="208"/>
      <c r="D18" s="208"/>
      <c r="E18" s="208"/>
      <c r="F18" s="208"/>
      <c r="G18" s="208"/>
      <c r="H18" s="208"/>
      <c r="I18" s="208"/>
      <c r="J18" s="208"/>
      <c r="K18" s="208"/>
    </row>
    <row r="19" spans="1:11" ht="57.6" customHeight="1" x14ac:dyDescent="0.2">
      <c r="B19" s="474" t="s">
        <v>1358</v>
      </c>
      <c r="C19" s="474"/>
      <c r="D19" s="474"/>
      <c r="E19" s="474"/>
      <c r="F19" s="474"/>
      <c r="G19" s="474"/>
      <c r="H19" s="474"/>
      <c r="I19" s="474"/>
      <c r="J19" s="474"/>
      <c r="K19" s="474"/>
    </row>
    <row r="20" spans="1:11" ht="12.75" x14ac:dyDescent="0.2">
      <c r="B20" s="395"/>
      <c r="C20" s="315"/>
      <c r="D20" s="315"/>
      <c r="E20" s="315"/>
      <c r="F20" s="315"/>
      <c r="G20" s="315"/>
      <c r="H20" s="315"/>
      <c r="I20" s="315"/>
      <c r="J20" s="315"/>
      <c r="K20" s="315"/>
    </row>
    <row r="21" spans="1:11" ht="29.45" customHeight="1" x14ac:dyDescent="0.2">
      <c r="B21" s="474" t="s">
        <v>1359</v>
      </c>
      <c r="C21" s="474"/>
      <c r="D21" s="474"/>
      <c r="E21" s="474"/>
      <c r="F21" s="474"/>
      <c r="G21" s="474"/>
      <c r="H21" s="474"/>
      <c r="I21" s="474"/>
      <c r="J21" s="474"/>
      <c r="K21" s="474"/>
    </row>
    <row r="22" spans="1:11" ht="12.75" x14ac:dyDescent="0.2">
      <c r="B22" s="357"/>
      <c r="C22" s="313"/>
      <c r="D22" s="313"/>
      <c r="E22" s="313"/>
      <c r="F22" s="313"/>
      <c r="G22" s="313"/>
      <c r="H22" s="313"/>
      <c r="I22" s="313"/>
      <c r="J22" s="313"/>
      <c r="K22" s="313"/>
    </row>
    <row r="23" spans="1:11" x14ac:dyDescent="0.2">
      <c r="B23" s="376" t="s">
        <v>1360</v>
      </c>
      <c r="C23" s="313"/>
      <c r="D23" s="313"/>
      <c r="E23" s="313"/>
      <c r="F23" s="313"/>
      <c r="G23" s="313"/>
      <c r="H23" s="313"/>
      <c r="I23" s="313"/>
      <c r="J23" s="313"/>
      <c r="K23" s="313"/>
    </row>
    <row r="24" spans="1:11" ht="12.75" x14ac:dyDescent="0.2">
      <c r="B24" s="395"/>
      <c r="C24" s="313"/>
      <c r="D24" s="313"/>
      <c r="E24" s="313"/>
      <c r="F24" s="313"/>
      <c r="G24" s="313"/>
      <c r="H24" s="313"/>
      <c r="I24" s="313"/>
      <c r="J24" s="313"/>
      <c r="K24" s="313"/>
    </row>
    <row r="25" spans="1:11" ht="24" customHeight="1" x14ac:dyDescent="0.2">
      <c r="B25" s="474" t="s">
        <v>1361</v>
      </c>
      <c r="C25" s="474"/>
      <c r="D25" s="474"/>
      <c r="E25" s="474"/>
      <c r="F25" s="474"/>
      <c r="G25" s="474"/>
      <c r="H25" s="474"/>
      <c r="I25" s="474"/>
      <c r="J25" s="474"/>
      <c r="K25" s="474"/>
    </row>
  </sheetData>
  <mergeCells count="7">
    <mergeCell ref="B21:K21"/>
    <mergeCell ref="B25:K25"/>
    <mergeCell ref="B7:K7"/>
    <mergeCell ref="B9:K9"/>
    <mergeCell ref="B11:K11"/>
    <mergeCell ref="B15:K15"/>
    <mergeCell ref="B19:K19"/>
  </mergeCells>
  <pageMargins left="0.70866141732283472" right="0.70866141732283472" top="0.74803149606299213" bottom="0.74803149606299213" header="0.31496062992125984" footer="0.31496062992125984"/>
  <pageSetup paperSize="9" scale="99" fitToHeight="0" orientation="portrait" verticalDpi="0" r:id="rId1"/>
  <headerFooter>
    <oddFooter>&amp;RPage &amp;P of &amp;N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2">
    <pageSetUpPr fitToPage="1"/>
  </sheetPr>
  <dimension ref="A1:G39"/>
  <sheetViews>
    <sheetView showGridLines="0" zoomScaleNormal="100" workbookViewId="0">
      <selection activeCell="C29" sqref="C29"/>
    </sheetView>
  </sheetViews>
  <sheetFormatPr defaultColWidth="9.140625" defaultRowHeight="14.1" customHeight="1" x14ac:dyDescent="0.2"/>
  <cols>
    <col min="1" max="1" width="0.7109375" style="38" customWidth="1"/>
    <col min="2" max="2" width="84" style="21" customWidth="1"/>
    <col min="3" max="3" width="9.28515625" style="21" customWidth="1"/>
    <col min="4" max="6" width="9.28515625" style="21" hidden="1" customWidth="1"/>
    <col min="7" max="16384" width="9.140625" style="21"/>
  </cols>
  <sheetData>
    <row r="1" spans="1:7" s="313" customFormat="1" ht="14.1" customHeight="1" x14ac:dyDescent="0.2">
      <c r="A1" s="350" t="s">
        <v>1310</v>
      </c>
      <c r="B1" s="351"/>
      <c r="C1" s="351"/>
      <c r="D1" s="351"/>
      <c r="E1" s="351"/>
      <c r="F1" s="351"/>
    </row>
    <row r="2" spans="1:7" s="313" customFormat="1" ht="14.1" customHeight="1" x14ac:dyDescent="0.2">
      <c r="A2" s="205"/>
    </row>
    <row r="3" spans="1:7" ht="14.1" customHeight="1" x14ac:dyDescent="0.2">
      <c r="A3" s="205">
        <f>'FI1'!A5+0.1</f>
        <v>29.200000000000003</v>
      </c>
      <c r="B3" s="289" t="str">
        <f>"Note "&amp;A3&amp;" Carrying values of financial assets (Group)"</f>
        <v>Note 29.2 Carrying values of financial assets (Group)</v>
      </c>
      <c r="C3" s="313"/>
      <c r="D3" s="313"/>
      <c r="E3" s="313"/>
      <c r="F3" s="313"/>
      <c r="G3" s="313"/>
    </row>
    <row r="4" spans="1:7" ht="46.9" customHeight="1" x14ac:dyDescent="0.2">
      <c r="A4" s="205"/>
      <c r="B4" s="326" t="str">
        <f>"Carrying values of financial assets as at " &amp; TEXT(CurrentYearEnd, "d mmmm yyyy")</f>
        <v>Carrying values of financial assets as at 31 March 2022</v>
      </c>
      <c r="C4" s="290" t="s">
        <v>1134</v>
      </c>
      <c r="D4" s="290" t="s">
        <v>1135</v>
      </c>
      <c r="E4" s="290" t="s">
        <v>1136</v>
      </c>
      <c r="F4" s="290" t="s">
        <v>1137</v>
      </c>
      <c r="G4" s="326"/>
    </row>
    <row r="5" spans="1:7" ht="14.1" customHeight="1" x14ac:dyDescent="0.2">
      <c r="A5" s="205"/>
      <c r="B5" s="328"/>
      <c r="C5" s="290" t="s">
        <v>590</v>
      </c>
      <c r="D5" s="290" t="s">
        <v>590</v>
      </c>
      <c r="E5" s="290" t="s">
        <v>590</v>
      </c>
      <c r="F5" s="290" t="s">
        <v>590</v>
      </c>
      <c r="G5" s="313"/>
    </row>
    <row r="6" spans="1:7" ht="13.7" customHeight="1" x14ac:dyDescent="0.2">
      <c r="A6" s="313"/>
      <c r="B6" s="183" t="s">
        <v>1138</v>
      </c>
      <c r="C6" s="219">
        <v>20643</v>
      </c>
      <c r="D6" s="219">
        <v>0</v>
      </c>
      <c r="E6" s="219">
        <v>0</v>
      </c>
      <c r="F6" s="220">
        <f>SUM(C6:E6)</f>
        <v>20643</v>
      </c>
      <c r="G6" s="313"/>
    </row>
    <row r="7" spans="1:7" ht="13.7" customHeight="1" x14ac:dyDescent="0.2">
      <c r="A7" s="313"/>
      <c r="B7" s="183" t="s">
        <v>553</v>
      </c>
      <c r="C7" s="219">
        <v>1029.490655813278</v>
      </c>
      <c r="D7" s="219">
        <v>0</v>
      </c>
      <c r="E7" s="219">
        <v>0</v>
      </c>
      <c r="F7" s="220">
        <f>SUM(C7:E7)</f>
        <v>1029.490655813278</v>
      </c>
      <c r="G7" s="313"/>
    </row>
    <row r="8" spans="1:7" ht="13.7" customHeight="1" x14ac:dyDescent="0.2">
      <c r="A8" s="313"/>
      <c r="B8" s="183" t="s">
        <v>561</v>
      </c>
      <c r="C8" s="219">
        <v>69261</v>
      </c>
      <c r="D8" s="219">
        <v>0</v>
      </c>
      <c r="E8" s="219">
        <v>0</v>
      </c>
      <c r="F8" s="220">
        <f>SUM(C8:E8)</f>
        <v>69261</v>
      </c>
      <c r="G8" s="313"/>
    </row>
    <row r="9" spans="1:7" s="184" customFormat="1" ht="13.7" hidden="1" customHeight="1" x14ac:dyDescent="0.2">
      <c r="A9" s="313"/>
      <c r="B9" s="183" t="s">
        <v>1139</v>
      </c>
      <c r="C9" s="219">
        <v>0</v>
      </c>
      <c r="D9" s="219">
        <v>0</v>
      </c>
      <c r="E9" s="219">
        <v>0</v>
      </c>
      <c r="F9" s="220">
        <f>SUM(C9:E9)</f>
        <v>0</v>
      </c>
      <c r="G9" s="313"/>
    </row>
    <row r="10" spans="1:7" ht="14.1" customHeight="1" thickBot="1" x14ac:dyDescent="0.25">
      <c r="A10" s="313"/>
      <c r="B10" s="289" t="str">
        <f>"Total at " &amp; TEXT(CurrentYearEnd, "d mmmm yyyy")</f>
        <v>Total at 31 March 2022</v>
      </c>
      <c r="C10" s="206">
        <f>SUM(C6:C9)</f>
        <v>90933.490655813279</v>
      </c>
      <c r="D10" s="206">
        <f>SUM(D6:D9)</f>
        <v>0</v>
      </c>
      <c r="E10" s="206">
        <f>SUM(E6:E9)</f>
        <v>0</v>
      </c>
      <c r="F10" s="206">
        <f>SUM(F6:F9)</f>
        <v>90933.490655813279</v>
      </c>
      <c r="G10" s="313"/>
    </row>
    <row r="11" spans="1:7" ht="14.1" customHeight="1" thickTop="1" x14ac:dyDescent="0.2">
      <c r="A11" s="313"/>
      <c r="B11" s="316"/>
      <c r="C11" s="316"/>
      <c r="D11" s="316"/>
      <c r="E11" s="316"/>
      <c r="F11" s="313"/>
      <c r="G11" s="313"/>
    </row>
    <row r="12" spans="1:7" ht="46.35" customHeight="1" x14ac:dyDescent="0.2">
      <c r="A12" s="313"/>
      <c r="B12" s="316" t="str">
        <f>"Carrying values of financial assets as at " &amp; TEXT(ComparativeYearEnd, "d mmmm yyyy")</f>
        <v>Carrying values of financial assets as at 31 March 2021</v>
      </c>
      <c r="C12" s="290" t="s">
        <v>1134</v>
      </c>
      <c r="D12" s="290" t="s">
        <v>1135</v>
      </c>
      <c r="E12" s="290" t="s">
        <v>1136</v>
      </c>
      <c r="F12" s="290" t="s">
        <v>1137</v>
      </c>
      <c r="G12" s="313"/>
    </row>
    <row r="13" spans="1:7" ht="14.1" customHeight="1" x14ac:dyDescent="0.2">
      <c r="A13" s="313"/>
      <c r="B13" s="328"/>
      <c r="C13" s="290" t="s">
        <v>590</v>
      </c>
      <c r="D13" s="290" t="s">
        <v>590</v>
      </c>
      <c r="E13" s="290" t="s">
        <v>590</v>
      </c>
      <c r="F13" s="290" t="s">
        <v>590</v>
      </c>
      <c r="G13" s="313"/>
    </row>
    <row r="14" spans="1:7" ht="13.7" customHeight="1" x14ac:dyDescent="0.2">
      <c r="A14" s="313"/>
      <c r="B14" s="327" t="s">
        <v>1138</v>
      </c>
      <c r="C14" s="219">
        <v>16699</v>
      </c>
      <c r="D14" s="219">
        <v>0</v>
      </c>
      <c r="E14" s="219">
        <v>0</v>
      </c>
      <c r="F14" s="220">
        <f>SUM(C14:E14)</f>
        <v>16699</v>
      </c>
      <c r="G14" s="329"/>
    </row>
    <row r="15" spans="1:7" ht="14.1" customHeight="1" x14ac:dyDescent="0.2">
      <c r="A15" s="313"/>
      <c r="B15" s="327" t="s">
        <v>553</v>
      </c>
      <c r="C15" s="219">
        <v>780.49066000000005</v>
      </c>
      <c r="D15" s="219">
        <v>0</v>
      </c>
      <c r="E15" s="219">
        <v>0</v>
      </c>
      <c r="F15" s="220">
        <f>SUM(C15:E15)</f>
        <v>780.49066000000005</v>
      </c>
      <c r="G15" s="313"/>
    </row>
    <row r="16" spans="1:7" ht="13.7" customHeight="1" x14ac:dyDescent="0.2">
      <c r="A16" s="313"/>
      <c r="B16" s="327" t="s">
        <v>561</v>
      </c>
      <c r="C16" s="219">
        <v>68385</v>
      </c>
      <c r="D16" s="219">
        <v>0</v>
      </c>
      <c r="E16" s="219">
        <v>0</v>
      </c>
      <c r="F16" s="220">
        <f>SUM(C16:E16)</f>
        <v>68385</v>
      </c>
      <c r="G16" s="313"/>
    </row>
    <row r="17" spans="1:7" s="184" customFormat="1" ht="13.7" hidden="1" customHeight="1" x14ac:dyDescent="0.2">
      <c r="A17" s="313"/>
      <c r="B17" s="327" t="s">
        <v>1139</v>
      </c>
      <c r="C17" s="219">
        <v>0</v>
      </c>
      <c r="D17" s="219">
        <v>0</v>
      </c>
      <c r="E17" s="219">
        <v>0</v>
      </c>
      <c r="F17" s="220">
        <f>SUM(C17:E17)</f>
        <v>0</v>
      </c>
      <c r="G17" s="313"/>
    </row>
    <row r="18" spans="1:7" ht="14.1" customHeight="1" thickBot="1" x14ac:dyDescent="0.25">
      <c r="A18" s="313"/>
      <c r="B18" s="289" t="str">
        <f>"Total at " &amp; TEXT(ComparativeYearEnd, "d mmmm yyyy")</f>
        <v>Total at 31 March 2021</v>
      </c>
      <c r="C18" s="206">
        <f>SUM(C14:C17)</f>
        <v>85864.490659999996</v>
      </c>
      <c r="D18" s="206">
        <f>SUM(D14:D17)</f>
        <v>0</v>
      </c>
      <c r="E18" s="206">
        <f>SUM(E14:E17)</f>
        <v>0</v>
      </c>
      <c r="F18" s="206">
        <f>SUM(F14:F17)</f>
        <v>85864.490659999996</v>
      </c>
    </row>
    <row r="19" spans="1:7" ht="26.1" customHeight="1" thickTop="1" x14ac:dyDescent="0.2">
      <c r="A19" s="313"/>
      <c r="B19" s="316"/>
      <c r="C19" s="316"/>
      <c r="D19" s="316"/>
      <c r="E19" s="316"/>
      <c r="F19" s="313"/>
    </row>
    <row r="20" spans="1:7" s="287" customFormat="1" ht="14.1" customHeight="1" x14ac:dyDescent="0.2">
      <c r="A20" s="205">
        <f>A3+0.1</f>
        <v>29.300000000000004</v>
      </c>
      <c r="B20" s="289" t="str">
        <f>"Note "&amp;A20&amp;" Carrying values of financial assets (Trust)"</f>
        <v>Note 29.3 Carrying values of financial assets (Trust)</v>
      </c>
      <c r="C20" s="313"/>
      <c r="D20" s="313"/>
      <c r="E20" s="313"/>
      <c r="F20" s="313"/>
    </row>
    <row r="21" spans="1:7" s="184" customFormat="1" ht="47.85" customHeight="1" x14ac:dyDescent="0.2">
      <c r="A21" s="205"/>
      <c r="B21" s="316" t="str">
        <f>"Carrying values of financial assets as at " &amp; TEXT(CurrentYearEnd, "d mmmm yyyy")</f>
        <v>Carrying values of financial assets as at 31 March 2022</v>
      </c>
      <c r="C21" s="290" t="s">
        <v>1134</v>
      </c>
      <c r="D21" s="290" t="s">
        <v>1135</v>
      </c>
      <c r="E21" s="290" t="s">
        <v>1136</v>
      </c>
      <c r="F21" s="290" t="s">
        <v>1137</v>
      </c>
    </row>
    <row r="22" spans="1:7" s="184" customFormat="1" ht="14.1" customHeight="1" x14ac:dyDescent="0.2">
      <c r="A22" s="205"/>
      <c r="B22" s="328"/>
      <c r="C22" s="290" t="s">
        <v>590</v>
      </c>
      <c r="D22" s="290" t="s">
        <v>590</v>
      </c>
      <c r="E22" s="290" t="s">
        <v>590</v>
      </c>
      <c r="F22" s="290" t="s">
        <v>590</v>
      </c>
    </row>
    <row r="23" spans="1:7" s="184" customFormat="1" ht="13.7" customHeight="1" x14ac:dyDescent="0.2">
      <c r="A23" s="313"/>
      <c r="B23" s="183" t="s">
        <v>1138</v>
      </c>
      <c r="C23" s="219">
        <v>20325</v>
      </c>
      <c r="D23" s="219"/>
      <c r="E23" s="219"/>
      <c r="F23" s="220">
        <f>SUM(C23:E23)</f>
        <v>20325</v>
      </c>
    </row>
    <row r="24" spans="1:7" s="184" customFormat="1" ht="14.1" customHeight="1" x14ac:dyDescent="0.2">
      <c r="A24" s="313"/>
      <c r="B24" s="327" t="s">
        <v>553</v>
      </c>
      <c r="C24" s="219">
        <v>3430</v>
      </c>
      <c r="D24" s="219"/>
      <c r="E24" s="219"/>
      <c r="F24" s="220">
        <f>SUM(C24:E24)</f>
        <v>3430</v>
      </c>
    </row>
    <row r="25" spans="1:7" s="184" customFormat="1" ht="14.1" customHeight="1" x14ac:dyDescent="0.2">
      <c r="A25" s="313"/>
      <c r="B25" s="327" t="s">
        <v>561</v>
      </c>
      <c r="C25" s="219">
        <v>68947</v>
      </c>
      <c r="D25" s="219"/>
      <c r="E25" s="219"/>
      <c r="F25" s="220">
        <f>SUM(C25:E25)</f>
        <v>68947</v>
      </c>
    </row>
    <row r="26" spans="1:7" s="184" customFormat="1" ht="14.1" customHeight="1" thickBot="1" x14ac:dyDescent="0.25">
      <c r="A26" s="313"/>
      <c r="B26" s="289" t="str">
        <f>"Total at " &amp; TEXT(CurrentYearEnd, "d mmmm yyyy")</f>
        <v>Total at 31 March 2022</v>
      </c>
      <c r="C26" s="221">
        <f>SUM(C23:C25)</f>
        <v>92702</v>
      </c>
      <c r="D26" s="221">
        <f>SUM(D23:D25)</f>
        <v>0</v>
      </c>
      <c r="E26" s="221">
        <f>SUM(E23:E25)</f>
        <v>0</v>
      </c>
      <c r="F26" s="221">
        <f>SUM(F23:F25)</f>
        <v>92702</v>
      </c>
    </row>
    <row r="27" spans="1:7" s="184" customFormat="1" ht="14.1" customHeight="1" thickTop="1" x14ac:dyDescent="0.2">
      <c r="A27" s="313"/>
      <c r="B27" s="316"/>
      <c r="C27" s="316"/>
      <c r="D27" s="316"/>
      <c r="E27" s="316"/>
      <c r="F27" s="313"/>
    </row>
    <row r="28" spans="1:7" s="184" customFormat="1" ht="46.35" customHeight="1" x14ac:dyDescent="0.2">
      <c r="A28" s="313"/>
      <c r="B28" s="316" t="str">
        <f>"Carrying values of financial assets as at " &amp; TEXT(ComparativeYearEnd, "d mmmm yyyy")</f>
        <v>Carrying values of financial assets as at 31 March 2021</v>
      </c>
      <c r="C28" s="290" t="s">
        <v>1134</v>
      </c>
      <c r="D28" s="290" t="s">
        <v>1135</v>
      </c>
      <c r="E28" s="290" t="s">
        <v>1136</v>
      </c>
      <c r="F28" s="290" t="s">
        <v>1137</v>
      </c>
    </row>
    <row r="29" spans="1:7" s="184" customFormat="1" ht="14.1" customHeight="1" x14ac:dyDescent="0.2">
      <c r="A29" s="313"/>
      <c r="B29" s="328"/>
      <c r="C29" s="290" t="s">
        <v>590</v>
      </c>
      <c r="D29" s="290" t="s">
        <v>590</v>
      </c>
      <c r="E29" s="290" t="s">
        <v>590</v>
      </c>
      <c r="F29" s="290" t="s">
        <v>590</v>
      </c>
    </row>
    <row r="30" spans="1:7" s="184" customFormat="1" ht="13.7" customHeight="1" x14ac:dyDescent="0.2">
      <c r="A30" s="313"/>
      <c r="B30" s="327" t="s">
        <v>1138</v>
      </c>
      <c r="C30" s="219">
        <v>14734</v>
      </c>
      <c r="D30" s="219"/>
      <c r="E30" s="219"/>
      <c r="F30" s="220">
        <f>SUM(C30:E30)</f>
        <v>14734</v>
      </c>
    </row>
    <row r="31" spans="1:7" s="184" customFormat="1" ht="14.1" customHeight="1" x14ac:dyDescent="0.2">
      <c r="A31" s="313"/>
      <c r="B31" s="327" t="s">
        <v>553</v>
      </c>
      <c r="C31" s="219">
        <v>3384</v>
      </c>
      <c r="D31" s="219"/>
      <c r="E31" s="219"/>
      <c r="F31" s="220">
        <f>SUM(C31:E31)</f>
        <v>3384</v>
      </c>
    </row>
    <row r="32" spans="1:7" s="184" customFormat="1" ht="14.1" customHeight="1" x14ac:dyDescent="0.2">
      <c r="A32" s="313"/>
      <c r="B32" s="327" t="s">
        <v>561</v>
      </c>
      <c r="C32" s="219">
        <v>67074</v>
      </c>
      <c r="D32" s="219"/>
      <c r="E32" s="219"/>
      <c r="F32" s="220">
        <f>SUM(C32:E32)</f>
        <v>67074</v>
      </c>
    </row>
    <row r="33" spans="1:6" s="184" customFormat="1" ht="14.1" customHeight="1" thickBot="1" x14ac:dyDescent="0.25">
      <c r="A33" s="313"/>
      <c r="B33" s="289" t="str">
        <f>"Total at " &amp; TEXT(ComparativeYearEnd, "d mmmm yyyy")</f>
        <v>Total at 31 March 2021</v>
      </c>
      <c r="C33" s="221">
        <f>SUM(C30:C32)</f>
        <v>85192</v>
      </c>
      <c r="D33" s="221">
        <f>SUM(D30:D32)</f>
        <v>0</v>
      </c>
      <c r="E33" s="221">
        <f>SUM(E30:E32)</f>
        <v>0</v>
      </c>
      <c r="F33" s="221">
        <f>SUM(F30:F32)</f>
        <v>85192</v>
      </c>
    </row>
    <row r="34" spans="1:6" ht="14.1" customHeight="1" thickTop="1" x14ac:dyDescent="0.2">
      <c r="A34" s="313"/>
      <c r="B34" s="316"/>
      <c r="C34" s="316"/>
      <c r="D34" s="316"/>
      <c r="E34" s="316"/>
      <c r="F34" s="313"/>
    </row>
    <row r="35" spans="1:6" s="250" customFormat="1" ht="14.1" customHeight="1" x14ac:dyDescent="0.2">
      <c r="A35" s="205"/>
      <c r="B35" s="329"/>
      <c r="C35" s="289"/>
      <c r="D35" s="289"/>
      <c r="E35" s="126"/>
      <c r="F35" s="126"/>
    </row>
    <row r="36" spans="1:6" s="250" customFormat="1" ht="24.6" customHeight="1" x14ac:dyDescent="0.2">
      <c r="A36" s="205"/>
      <c r="B36" s="476"/>
      <c r="C36" s="476"/>
      <c r="D36" s="476"/>
      <c r="E36" s="476"/>
      <c r="F36" s="476"/>
    </row>
    <row r="37" spans="1:6" s="250" customFormat="1" ht="14.1" customHeight="1" x14ac:dyDescent="0.2">
      <c r="A37" s="205"/>
      <c r="B37" s="251"/>
      <c r="C37" s="251"/>
      <c r="D37" s="251"/>
      <c r="E37" s="251"/>
      <c r="F37" s="251"/>
    </row>
    <row r="38" spans="1:6" s="250" customFormat="1" ht="14.1" customHeight="1" x14ac:dyDescent="0.2">
      <c r="A38" s="205"/>
      <c r="B38" s="251"/>
      <c r="C38" s="251"/>
      <c r="D38" s="251"/>
      <c r="E38" s="251"/>
      <c r="F38" s="251"/>
    </row>
    <row r="39" spans="1:6" s="250" customFormat="1" ht="14.1" customHeight="1" x14ac:dyDescent="0.2">
      <c r="A39" s="205"/>
      <c r="B39" s="251"/>
      <c r="C39" s="251"/>
      <c r="D39" s="251"/>
      <c r="E39" s="251"/>
      <c r="F39" s="251"/>
    </row>
  </sheetData>
  <customSheetViews>
    <customSheetView guid="{EDC1BD6E-863A-4FC6-A3A9-F32079F4F0C1}" topLeftCell="A109">
      <selection activeCell="G146" sqref="G146"/>
      <pageMargins left="0" right="0" top="0" bottom="0" header="0" footer="0"/>
      <pageSetup paperSize="9" orientation="portrait" verticalDpi="0" r:id="rId1"/>
    </customSheetView>
  </customSheetViews>
  <mergeCells count="1">
    <mergeCell ref="B36:F36"/>
  </mergeCells>
  <phoneticPr fontId="43" type="noConversion"/>
  <pageMargins left="0.70866141732283472" right="0.70866141732283472" top="0.74803149606299213" bottom="0.74803149606299213" header="0.31496062992125984" footer="0.31496062992125984"/>
  <pageSetup paperSize="9" scale="92" fitToHeight="0" orientation="portrait" verticalDpi="0" r:id="rId2"/>
  <headerFooter>
    <oddFooter>&amp;RPage &amp;P of &amp;N</oddFooter>
  </headerFooter>
  <ignoredErrors>
    <ignoredError sqref="C13 C29 C18:C22"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AE3A6-00BE-4D67-937D-AF685A82FDC4}">
  <sheetPr codeName="Sheet60">
    <pageSetUpPr fitToPage="1"/>
  </sheetPr>
  <dimension ref="A1:E59"/>
  <sheetViews>
    <sheetView showGridLines="0" topLeftCell="A29" zoomScaleNormal="100" workbookViewId="0">
      <selection activeCell="C14" sqref="C14"/>
    </sheetView>
  </sheetViews>
  <sheetFormatPr defaultColWidth="9.140625" defaultRowHeight="14.1" customHeight="1" x14ac:dyDescent="0.2"/>
  <cols>
    <col min="1" max="1" width="0.7109375" style="205" customWidth="1"/>
    <col min="2" max="2" width="84.140625" style="287" customWidth="1"/>
    <col min="3" max="3" width="11.42578125" style="287" customWidth="1"/>
    <col min="4" max="5" width="11.42578125" style="287" hidden="1" customWidth="1"/>
    <col min="6" max="16384" width="9.140625" style="287"/>
  </cols>
  <sheetData>
    <row r="1" spans="1:5" s="313" customFormat="1" ht="14.1" customHeight="1" x14ac:dyDescent="0.2">
      <c r="A1" s="350" t="s">
        <v>1310</v>
      </c>
      <c r="B1" s="351"/>
      <c r="C1" s="351"/>
      <c r="D1" s="351"/>
      <c r="E1" s="351"/>
    </row>
    <row r="2" spans="1:5" s="313" customFormat="1" ht="14.1" customHeight="1" x14ac:dyDescent="0.2">
      <c r="A2" s="205"/>
    </row>
    <row r="3" spans="1:5" ht="14.1" customHeight="1" x14ac:dyDescent="0.2">
      <c r="A3" s="205">
        <f>'FI2'!A20+0.1</f>
        <v>29.400000000000006</v>
      </c>
      <c r="B3" s="289" t="str">
        <f>"Note "&amp;A3&amp; " Carrying values of financial liabilities (Group)"</f>
        <v>Note 29.4 Carrying values of financial liabilities (Group)</v>
      </c>
      <c r="C3" s="313"/>
      <c r="D3" s="313"/>
      <c r="E3" s="313"/>
    </row>
    <row r="4" spans="1:5" ht="35.450000000000003" customHeight="1" x14ac:dyDescent="0.2">
      <c r="B4" s="289" t="str">
        <f>"Carrying values of financial liabilities as at " &amp; TEXT(CurrentYearEnd, "d mmmm yyyy")</f>
        <v>Carrying values of financial liabilities as at 31 March 2022</v>
      </c>
      <c r="C4" s="290" t="s">
        <v>1134</v>
      </c>
      <c r="D4" s="290" t="s">
        <v>1140</v>
      </c>
      <c r="E4" s="290" t="s">
        <v>1141</v>
      </c>
    </row>
    <row r="5" spans="1:5" ht="14.1" customHeight="1" x14ac:dyDescent="0.2">
      <c r="B5" s="316"/>
      <c r="C5" s="290" t="s">
        <v>590</v>
      </c>
      <c r="D5" s="290" t="s">
        <v>590</v>
      </c>
      <c r="E5" s="290" t="s">
        <v>590</v>
      </c>
    </row>
    <row r="6" spans="1:5" ht="14.1" customHeight="1" x14ac:dyDescent="0.2">
      <c r="B6" s="183" t="s">
        <v>1142</v>
      </c>
      <c r="C6" s="219">
        <v>31977</v>
      </c>
      <c r="D6" s="219">
        <v>0</v>
      </c>
      <c r="E6" s="220">
        <f t="shared" ref="E6:E13" si="0">SUM(C6:D6)</f>
        <v>31977</v>
      </c>
    </row>
    <row r="7" spans="1:5" ht="14.1" hidden="1" customHeight="1" x14ac:dyDescent="0.2">
      <c r="A7" s="313"/>
      <c r="B7" s="183" t="s">
        <v>1090</v>
      </c>
      <c r="C7" s="219">
        <v>0</v>
      </c>
      <c r="D7" s="219">
        <v>0</v>
      </c>
      <c r="E7" s="220">
        <f t="shared" si="0"/>
        <v>0</v>
      </c>
    </row>
    <row r="8" spans="1:5" ht="14.1" hidden="1" customHeight="1" x14ac:dyDescent="0.2">
      <c r="A8" s="313"/>
      <c r="B8" s="183" t="s">
        <v>1143</v>
      </c>
      <c r="C8" s="219">
        <v>0</v>
      </c>
      <c r="D8" s="219">
        <v>0</v>
      </c>
      <c r="E8" s="220">
        <f t="shared" si="0"/>
        <v>0</v>
      </c>
    </row>
    <row r="9" spans="1:5" ht="14.1" hidden="1" customHeight="1" x14ac:dyDescent="0.2">
      <c r="A9" s="313"/>
      <c r="B9" s="183" t="s">
        <v>1144</v>
      </c>
      <c r="C9" s="219">
        <v>0</v>
      </c>
      <c r="D9" s="219">
        <v>0</v>
      </c>
      <c r="E9" s="220">
        <f t="shared" si="0"/>
        <v>0</v>
      </c>
    </row>
    <row r="10" spans="1:5" ht="14.1" customHeight="1" x14ac:dyDescent="0.2">
      <c r="A10" s="313"/>
      <c r="B10" s="183" t="s">
        <v>1145</v>
      </c>
      <c r="C10" s="219">
        <v>44533</v>
      </c>
      <c r="D10" s="219">
        <v>0</v>
      </c>
      <c r="E10" s="220">
        <f t="shared" si="0"/>
        <v>44533</v>
      </c>
    </row>
    <row r="11" spans="1:5" ht="14.1" hidden="1" customHeight="1" x14ac:dyDescent="0.2">
      <c r="A11" s="313"/>
      <c r="B11" s="183" t="s">
        <v>566</v>
      </c>
      <c r="C11" s="219">
        <v>0</v>
      </c>
      <c r="D11" s="219">
        <v>0</v>
      </c>
      <c r="E11" s="220">
        <f t="shared" si="0"/>
        <v>0</v>
      </c>
    </row>
    <row r="12" spans="1:5" ht="14.1" customHeight="1" x14ac:dyDescent="0.2">
      <c r="A12" s="313"/>
      <c r="B12" s="183" t="s">
        <v>1146</v>
      </c>
      <c r="C12" s="219">
        <v>282.82146</v>
      </c>
      <c r="D12" s="219">
        <v>0</v>
      </c>
      <c r="E12" s="220">
        <f t="shared" si="0"/>
        <v>282.82146</v>
      </c>
    </row>
    <row r="13" spans="1:5" ht="13.7" hidden="1" customHeight="1" x14ac:dyDescent="0.2">
      <c r="A13" s="313"/>
      <c r="B13" s="183" t="s">
        <v>1147</v>
      </c>
      <c r="C13" s="219">
        <v>0</v>
      </c>
      <c r="D13" s="219">
        <v>0</v>
      </c>
      <c r="E13" s="220">
        <f t="shared" si="0"/>
        <v>0</v>
      </c>
    </row>
    <row r="14" spans="1:5" ht="14.1" customHeight="1" thickBot="1" x14ac:dyDescent="0.25">
      <c r="A14" s="313"/>
      <c r="B14" s="289" t="str">
        <f>"Total at " &amp; TEXT(CurrentYearEnd, "d mmmm yyyy")</f>
        <v>Total at 31 March 2022</v>
      </c>
      <c r="C14" s="437">
        <f>SUM(C6:C13)</f>
        <v>76792.821460000006</v>
      </c>
      <c r="D14" s="221">
        <f>SUM(D6:D13)</f>
        <v>0</v>
      </c>
      <c r="E14" s="221">
        <f>SUM(E6:E13)</f>
        <v>76792.821460000006</v>
      </c>
    </row>
    <row r="15" spans="1:5" ht="14.1" customHeight="1" thickTop="1" x14ac:dyDescent="0.2">
      <c r="A15" s="313"/>
      <c r="B15" s="189"/>
      <c r="C15" s="313"/>
      <c r="D15" s="313"/>
      <c r="E15" s="313"/>
    </row>
    <row r="16" spans="1:5" ht="36" x14ac:dyDescent="0.2">
      <c r="A16" s="313"/>
      <c r="B16" s="316" t="str">
        <f>"Carrying values of financial liabilities as at " &amp; TEXT(ComparativeYearEnd, "d mmmm yyyy")</f>
        <v>Carrying values of financial liabilities as at 31 March 2021</v>
      </c>
      <c r="C16" s="290" t="s">
        <v>1134</v>
      </c>
      <c r="D16" s="290" t="s">
        <v>1140</v>
      </c>
      <c r="E16" s="290" t="s">
        <v>1141</v>
      </c>
    </row>
    <row r="17" spans="1:5" ht="14.1" customHeight="1" x14ac:dyDescent="0.2">
      <c r="A17" s="313"/>
      <c r="B17" s="316"/>
      <c r="C17" s="290" t="s">
        <v>590</v>
      </c>
      <c r="D17" s="290" t="s">
        <v>590</v>
      </c>
      <c r="E17" s="290" t="s">
        <v>590</v>
      </c>
    </row>
    <row r="18" spans="1:5" ht="14.1" customHeight="1" x14ac:dyDescent="0.2">
      <c r="A18" s="313"/>
      <c r="B18" s="183" t="s">
        <v>1142</v>
      </c>
      <c r="C18" s="219">
        <v>33801</v>
      </c>
      <c r="D18" s="219">
        <v>0</v>
      </c>
      <c r="E18" s="220">
        <f t="shared" ref="E18:E25" si="1">SUM(C18:D18)</f>
        <v>33801</v>
      </c>
    </row>
    <row r="19" spans="1:5" ht="14.1" hidden="1" customHeight="1" x14ac:dyDescent="0.2">
      <c r="A19" s="313"/>
      <c r="B19" s="183" t="s">
        <v>1090</v>
      </c>
      <c r="C19" s="219">
        <v>0</v>
      </c>
      <c r="D19" s="219">
        <v>0</v>
      </c>
      <c r="E19" s="220">
        <f t="shared" si="1"/>
        <v>0</v>
      </c>
    </row>
    <row r="20" spans="1:5" ht="14.1" hidden="1" customHeight="1" x14ac:dyDescent="0.2">
      <c r="A20" s="313"/>
      <c r="B20" s="183" t="s">
        <v>1143</v>
      </c>
      <c r="C20" s="219">
        <v>0</v>
      </c>
      <c r="D20" s="219">
        <v>0</v>
      </c>
      <c r="E20" s="220">
        <f t="shared" si="1"/>
        <v>0</v>
      </c>
    </row>
    <row r="21" spans="1:5" ht="14.1" hidden="1" customHeight="1" x14ac:dyDescent="0.2">
      <c r="A21" s="313"/>
      <c r="B21" s="183" t="s">
        <v>1144</v>
      </c>
      <c r="C21" s="219">
        <v>0</v>
      </c>
      <c r="D21" s="219">
        <v>0</v>
      </c>
      <c r="E21" s="220">
        <f t="shared" si="1"/>
        <v>0</v>
      </c>
    </row>
    <row r="22" spans="1:5" ht="14.1" customHeight="1" x14ac:dyDescent="0.2">
      <c r="A22" s="313"/>
      <c r="B22" s="183" t="s">
        <v>1145</v>
      </c>
      <c r="C22" s="219">
        <v>48840</v>
      </c>
      <c r="D22" s="219">
        <v>0</v>
      </c>
      <c r="E22" s="220">
        <f t="shared" si="1"/>
        <v>48840</v>
      </c>
    </row>
    <row r="23" spans="1:5" ht="14.1" hidden="1" customHeight="1" x14ac:dyDescent="0.2">
      <c r="A23" s="313"/>
      <c r="B23" s="183" t="s">
        <v>566</v>
      </c>
      <c r="C23" s="219">
        <v>0</v>
      </c>
      <c r="D23" s="219">
        <v>0</v>
      </c>
      <c r="E23" s="220">
        <f t="shared" si="1"/>
        <v>0</v>
      </c>
    </row>
    <row r="24" spans="1:5" ht="14.1" customHeight="1" x14ac:dyDescent="0.2">
      <c r="A24" s="313"/>
      <c r="B24" s="183" t="s">
        <v>1146</v>
      </c>
      <c r="C24" s="219">
        <v>299.82146</v>
      </c>
      <c r="D24" s="219">
        <v>0</v>
      </c>
      <c r="E24" s="220">
        <f t="shared" si="1"/>
        <v>299.82146</v>
      </c>
    </row>
    <row r="25" spans="1:5" ht="13.7" hidden="1" customHeight="1" x14ac:dyDescent="0.2">
      <c r="A25" s="313"/>
      <c r="B25" s="183" t="s">
        <v>1147</v>
      </c>
      <c r="C25" s="219">
        <v>0</v>
      </c>
      <c r="D25" s="219">
        <v>0</v>
      </c>
      <c r="E25" s="220">
        <f t="shared" si="1"/>
        <v>0</v>
      </c>
    </row>
    <row r="26" spans="1:5" ht="14.1" customHeight="1" thickBot="1" x14ac:dyDescent="0.25">
      <c r="A26" s="313"/>
      <c r="B26" s="289" t="str">
        <f>"Total at " &amp; TEXT(ComparativeYearEnd, "d mmmm yyyy")</f>
        <v>Total at 31 March 2021</v>
      </c>
      <c r="C26" s="206">
        <f>SUM(C18:C25)</f>
        <v>82940.821460000006</v>
      </c>
      <c r="D26" s="206">
        <f>SUM(D18:D25)</f>
        <v>0</v>
      </c>
      <c r="E26" s="206">
        <f>SUM(E18:E25)</f>
        <v>82940.821460000006</v>
      </c>
    </row>
    <row r="27" spans="1:5" ht="14.1" customHeight="1" thickTop="1" x14ac:dyDescent="0.2">
      <c r="A27" s="313"/>
      <c r="B27" s="313"/>
      <c r="C27" s="313"/>
      <c r="D27" s="313"/>
      <c r="E27" s="313"/>
    </row>
    <row r="28" spans="1:5" s="296" customFormat="1" ht="14.1" customHeight="1" x14ac:dyDescent="0.2">
      <c r="A28" s="313"/>
      <c r="B28" s="313"/>
      <c r="C28" s="313"/>
      <c r="D28" s="313"/>
      <c r="E28" s="313"/>
    </row>
    <row r="29" spans="1:5" s="296" customFormat="1" ht="14.1" customHeight="1" x14ac:dyDescent="0.2">
      <c r="A29" s="205">
        <f>A3+0.1</f>
        <v>29.500000000000007</v>
      </c>
      <c r="B29" s="289" t="str">
        <f>"Note "&amp;A29&amp; " Carrying values of financial liabilities (Trust)"</f>
        <v>Note 29.5 Carrying values of financial liabilities (Trust)</v>
      </c>
      <c r="C29" s="313"/>
      <c r="D29" s="313"/>
      <c r="E29" s="313"/>
    </row>
    <row r="30" spans="1:5" ht="34.700000000000003" customHeight="1" x14ac:dyDescent="0.2">
      <c r="B30" s="316" t="str">
        <f>"Carrying values of financial liabilities as at " &amp; TEXT(CurrentYearEnd, "d mmmm yyyy")</f>
        <v>Carrying values of financial liabilities as at 31 March 2022</v>
      </c>
      <c r="C30" s="290" t="s">
        <v>1134</v>
      </c>
      <c r="D30" s="290" t="s">
        <v>1140</v>
      </c>
      <c r="E30" s="290" t="s">
        <v>1141</v>
      </c>
    </row>
    <row r="31" spans="1:5" ht="14.1" customHeight="1" x14ac:dyDescent="0.2">
      <c r="B31" s="316"/>
      <c r="C31" s="290" t="s">
        <v>590</v>
      </c>
      <c r="D31" s="290" t="s">
        <v>590</v>
      </c>
      <c r="E31" s="290" t="s">
        <v>590</v>
      </c>
    </row>
    <row r="32" spans="1:5" ht="14.1" customHeight="1" x14ac:dyDescent="0.2">
      <c r="B32" s="183" t="s">
        <v>1142</v>
      </c>
      <c r="C32" s="219">
        <f>+C6</f>
        <v>31977</v>
      </c>
      <c r="D32" s="219"/>
      <c r="E32" s="220">
        <f t="shared" ref="E32:E38" si="2">SUM(C32:D32)</f>
        <v>31977</v>
      </c>
    </row>
    <row r="33" spans="1:5" ht="14.1" hidden="1" customHeight="1" x14ac:dyDescent="0.2">
      <c r="A33" s="313"/>
      <c r="B33" s="183" t="s">
        <v>1090</v>
      </c>
      <c r="C33" s="219">
        <f t="shared" ref="C33:C35" si="3">+C7</f>
        <v>0</v>
      </c>
      <c r="D33" s="219"/>
      <c r="E33" s="220">
        <f t="shared" si="2"/>
        <v>0</v>
      </c>
    </row>
    <row r="34" spans="1:5" ht="14.1" hidden="1" customHeight="1" x14ac:dyDescent="0.2">
      <c r="A34" s="313"/>
      <c r="B34" s="183" t="s">
        <v>1143</v>
      </c>
      <c r="C34" s="219">
        <f t="shared" si="3"/>
        <v>0</v>
      </c>
      <c r="D34" s="219"/>
      <c r="E34" s="220">
        <f t="shared" si="2"/>
        <v>0</v>
      </c>
    </row>
    <row r="35" spans="1:5" ht="14.1" hidden="1" customHeight="1" x14ac:dyDescent="0.2">
      <c r="A35" s="313"/>
      <c r="B35" s="183" t="s">
        <v>1144</v>
      </c>
      <c r="C35" s="219">
        <f t="shared" si="3"/>
        <v>0</v>
      </c>
      <c r="D35" s="219"/>
      <c r="E35" s="220">
        <f t="shared" si="2"/>
        <v>0</v>
      </c>
    </row>
    <row r="36" spans="1:5" ht="14.1" customHeight="1" x14ac:dyDescent="0.2">
      <c r="A36" s="313"/>
      <c r="B36" s="183" t="s">
        <v>1145</v>
      </c>
      <c r="C36" s="219">
        <v>42722</v>
      </c>
      <c r="D36" s="219"/>
      <c r="E36" s="220">
        <f t="shared" si="2"/>
        <v>42722</v>
      </c>
    </row>
    <row r="37" spans="1:5" ht="14.1" hidden="1" customHeight="1" x14ac:dyDescent="0.2">
      <c r="A37" s="313"/>
      <c r="B37" s="183" t="s">
        <v>566</v>
      </c>
      <c r="C37" s="219"/>
      <c r="D37" s="219"/>
      <c r="E37" s="220">
        <f t="shared" si="2"/>
        <v>0</v>
      </c>
    </row>
    <row r="38" spans="1:5" ht="14.1" customHeight="1" x14ac:dyDescent="0.2">
      <c r="A38" s="313"/>
      <c r="B38" s="183" t="s">
        <v>1146</v>
      </c>
      <c r="C38" s="219">
        <v>283</v>
      </c>
      <c r="D38" s="219"/>
      <c r="E38" s="220">
        <f t="shared" si="2"/>
        <v>283</v>
      </c>
    </row>
    <row r="39" spans="1:5" ht="14.1" customHeight="1" thickBot="1" x14ac:dyDescent="0.25">
      <c r="A39" s="313"/>
      <c r="B39" s="289" t="str">
        <f>"Total at " &amp; TEXT(CurrentYearEnd, "d mmmm yyyy")</f>
        <v>Total at 31 March 2022</v>
      </c>
      <c r="C39" s="206">
        <f>SUM(C32:C38)</f>
        <v>74982</v>
      </c>
      <c r="D39" s="206">
        <f>SUM(D32:D38)</f>
        <v>0</v>
      </c>
      <c r="E39" s="206">
        <f>SUM(E32:E38)</f>
        <v>74982</v>
      </c>
    </row>
    <row r="40" spans="1:5" ht="14.1" customHeight="1" thickTop="1" x14ac:dyDescent="0.2">
      <c r="A40" s="313"/>
      <c r="B40" s="189"/>
      <c r="C40" s="313"/>
      <c r="D40" s="313"/>
      <c r="E40" s="313"/>
    </row>
    <row r="41" spans="1:5" ht="36" x14ac:dyDescent="0.2">
      <c r="A41" s="313"/>
      <c r="B41" s="316" t="str">
        <f>"Carrying values of financial liabilities as at " &amp; TEXT(ComparativeYearEnd, "d mmmm yyyy")</f>
        <v>Carrying values of financial liabilities as at 31 March 2021</v>
      </c>
      <c r="C41" s="290" t="s">
        <v>1134</v>
      </c>
      <c r="D41" s="290" t="s">
        <v>1140</v>
      </c>
      <c r="E41" s="290" t="s">
        <v>1141</v>
      </c>
    </row>
    <row r="42" spans="1:5" ht="14.1" customHeight="1" x14ac:dyDescent="0.2">
      <c r="A42" s="313"/>
      <c r="B42" s="316"/>
      <c r="C42" s="290" t="s">
        <v>590</v>
      </c>
      <c r="D42" s="290" t="s">
        <v>590</v>
      </c>
      <c r="E42" s="290" t="s">
        <v>590</v>
      </c>
    </row>
    <row r="43" spans="1:5" ht="14.1" customHeight="1" x14ac:dyDescent="0.2">
      <c r="A43" s="313"/>
      <c r="B43" s="183" t="s">
        <v>1142</v>
      </c>
      <c r="C43" s="219">
        <v>33801</v>
      </c>
      <c r="D43" s="219"/>
      <c r="E43" s="220">
        <f t="shared" ref="E43:E49" si="4">SUM(C43:D43)</f>
        <v>33801</v>
      </c>
    </row>
    <row r="44" spans="1:5" ht="14.1" hidden="1" customHeight="1" x14ac:dyDescent="0.2">
      <c r="A44" s="313"/>
      <c r="B44" s="183" t="s">
        <v>1090</v>
      </c>
      <c r="C44" s="219">
        <v>0</v>
      </c>
      <c r="D44" s="219"/>
      <c r="E44" s="220">
        <f t="shared" si="4"/>
        <v>0</v>
      </c>
    </row>
    <row r="45" spans="1:5" ht="14.1" hidden="1" customHeight="1" x14ac:dyDescent="0.2">
      <c r="A45" s="313"/>
      <c r="B45" s="183" t="s">
        <v>1143</v>
      </c>
      <c r="C45" s="219">
        <v>0</v>
      </c>
      <c r="D45" s="219"/>
      <c r="E45" s="220">
        <f t="shared" si="4"/>
        <v>0</v>
      </c>
    </row>
    <row r="46" spans="1:5" ht="14.1" hidden="1" customHeight="1" x14ac:dyDescent="0.2">
      <c r="A46" s="313"/>
      <c r="B46" s="183" t="s">
        <v>1144</v>
      </c>
      <c r="C46" s="219">
        <v>0</v>
      </c>
      <c r="D46" s="219"/>
      <c r="E46" s="220">
        <f t="shared" si="4"/>
        <v>0</v>
      </c>
    </row>
    <row r="47" spans="1:5" ht="14.1" customHeight="1" x14ac:dyDescent="0.2">
      <c r="A47" s="313"/>
      <c r="B47" s="183" t="s">
        <v>1145</v>
      </c>
      <c r="C47" s="219">
        <v>46156</v>
      </c>
      <c r="D47" s="219"/>
      <c r="E47" s="220">
        <f t="shared" si="4"/>
        <v>46156</v>
      </c>
    </row>
    <row r="48" spans="1:5" ht="14.1" hidden="1" customHeight="1" x14ac:dyDescent="0.2">
      <c r="A48" s="313"/>
      <c r="B48" s="183" t="s">
        <v>566</v>
      </c>
      <c r="C48" s="219">
        <v>0</v>
      </c>
      <c r="D48" s="219"/>
      <c r="E48" s="220">
        <f t="shared" si="4"/>
        <v>0</v>
      </c>
    </row>
    <row r="49" spans="1:5" ht="14.1" customHeight="1" x14ac:dyDescent="0.2">
      <c r="A49" s="313"/>
      <c r="B49" s="183" t="s">
        <v>1146</v>
      </c>
      <c r="C49" s="219">
        <v>300</v>
      </c>
      <c r="D49" s="219"/>
      <c r="E49" s="220">
        <f t="shared" si="4"/>
        <v>300</v>
      </c>
    </row>
    <row r="50" spans="1:5" ht="14.1" customHeight="1" thickBot="1" x14ac:dyDescent="0.25">
      <c r="A50" s="313"/>
      <c r="B50" s="289" t="str">
        <f>"Total at " &amp; TEXT(ComparativeYearEnd, "d mmmm yyyy")</f>
        <v>Total at 31 March 2021</v>
      </c>
      <c r="C50" s="206">
        <f>SUM(C43:C49)</f>
        <v>80257</v>
      </c>
      <c r="D50" s="206">
        <f>SUM(D43:D49)</f>
        <v>0</v>
      </c>
      <c r="E50" s="206">
        <f>SUM(E43:E49)</f>
        <v>80257</v>
      </c>
    </row>
    <row r="51" spans="1:5" ht="14.1" customHeight="1" thickTop="1" x14ac:dyDescent="0.2">
      <c r="B51" s="313"/>
      <c r="C51" s="313"/>
      <c r="D51" s="313"/>
      <c r="E51" s="313"/>
    </row>
    <row r="52" spans="1:5" ht="26.1" customHeight="1" x14ac:dyDescent="0.2">
      <c r="B52" s="453"/>
      <c r="C52" s="453"/>
      <c r="D52" s="453"/>
      <c r="E52" s="453"/>
    </row>
    <row r="53" spans="1:5" ht="14.1" customHeight="1" x14ac:dyDescent="0.2">
      <c r="B53" s="319"/>
      <c r="C53" s="319"/>
      <c r="D53" s="319"/>
      <c r="E53" s="319"/>
    </row>
    <row r="54" spans="1:5" ht="14.1" hidden="1" customHeight="1" x14ac:dyDescent="0.2">
      <c r="A54" s="205">
        <f>A29+0.1</f>
        <v>29.600000000000009</v>
      </c>
      <c r="B54" s="97" t="str">
        <f>"Note "&amp; A54&amp; " Fair values of financial assets and liabilities"</f>
        <v>Note 29.6 Fair values of financial assets and liabilities</v>
      </c>
      <c r="C54" s="313"/>
      <c r="D54" s="313"/>
      <c r="E54" s="313"/>
    </row>
    <row r="56" spans="1:5" ht="29.85" customHeight="1" x14ac:dyDescent="0.2">
      <c r="B56" s="453"/>
      <c r="C56" s="453"/>
      <c r="D56" s="453"/>
      <c r="E56" s="453"/>
    </row>
    <row r="57" spans="1:5" ht="14.1" customHeight="1" x14ac:dyDescent="0.2">
      <c r="B57" s="319"/>
      <c r="C57" s="319"/>
      <c r="D57" s="319"/>
      <c r="E57" s="313"/>
    </row>
    <row r="58" spans="1:5" ht="27.75" customHeight="1" x14ac:dyDescent="0.2">
      <c r="B58" s="453"/>
      <c r="C58" s="453"/>
      <c r="D58" s="453"/>
      <c r="E58" s="453"/>
    </row>
    <row r="59" spans="1:5" ht="14.1" customHeight="1" x14ac:dyDescent="0.2">
      <c r="B59" s="99"/>
      <c r="C59" s="99"/>
      <c r="D59" s="99"/>
      <c r="E59" s="313"/>
    </row>
  </sheetData>
  <mergeCells count="3">
    <mergeCell ref="B52:E52"/>
    <mergeCell ref="B56:E56"/>
    <mergeCell ref="B58:E58"/>
  </mergeCells>
  <pageMargins left="0.70866141732283472" right="0.70866141732283472" top="0.74803149606299213" bottom="0.74803149606299213" header="0.31496062992125984" footer="0.31496062992125984"/>
  <pageSetup paperSize="9" scale="90" fitToHeight="0" orientation="portrait" verticalDpi="0" r:id="rId1"/>
  <headerFooter>
    <oddFooter>&amp;RPage &amp;P of &amp;N</oddFooter>
  </headerFooter>
  <ignoredErrors>
    <ignoredError sqref="C5 C14:C17"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3">
    <pageSetUpPr fitToPage="1"/>
  </sheetPr>
  <dimension ref="A1:K67"/>
  <sheetViews>
    <sheetView showGridLines="0" zoomScaleNormal="100" workbookViewId="0">
      <selection activeCell="C39" sqref="C39"/>
    </sheetView>
  </sheetViews>
  <sheetFormatPr defaultColWidth="9.140625" defaultRowHeight="14.1" customHeight="1" x14ac:dyDescent="0.2"/>
  <cols>
    <col min="1" max="1" width="1.7109375" style="38" customWidth="1"/>
    <col min="2" max="2" width="40.42578125" style="21" customWidth="1"/>
    <col min="3" max="3" width="10.7109375" style="21" customWidth="1"/>
    <col min="4" max="4" width="0.42578125" style="287" customWidth="1"/>
    <col min="5" max="5" width="10.7109375" style="21" customWidth="1"/>
    <col min="6" max="6" width="0.85546875" style="21" customWidth="1"/>
    <col min="7" max="7" width="10.7109375" style="21" customWidth="1"/>
    <col min="8" max="8" width="0.42578125" style="287" customWidth="1"/>
    <col min="9" max="9" width="10.7109375" style="21" customWidth="1"/>
    <col min="10" max="16384" width="9.140625" style="21"/>
  </cols>
  <sheetData>
    <row r="1" spans="1:11" s="313" customFormat="1" ht="14.1" customHeight="1" x14ac:dyDescent="0.2">
      <c r="A1" s="350" t="s">
        <v>1310</v>
      </c>
      <c r="B1" s="351"/>
      <c r="C1" s="351"/>
      <c r="D1" s="351"/>
      <c r="E1" s="351"/>
      <c r="F1" s="351"/>
      <c r="G1" s="351"/>
      <c r="H1" s="351"/>
      <c r="I1" s="351"/>
    </row>
    <row r="2" spans="1:11" s="313" customFormat="1" ht="14.1" customHeight="1" x14ac:dyDescent="0.2">
      <c r="A2" s="205"/>
    </row>
    <row r="3" spans="1:11" s="287" customFormat="1" ht="14.1" customHeight="1" x14ac:dyDescent="0.2">
      <c r="A3" s="205">
        <f>'FI3'!A54+0.1</f>
        <v>29.70000000000001</v>
      </c>
      <c r="B3" s="316" t="str">
        <f>"Note "&amp; A3&amp; " Maturity of financial liabilities"</f>
        <v>Note 29.7 Maturity of financial liabilities</v>
      </c>
      <c r="C3" s="289"/>
      <c r="D3" s="289"/>
      <c r="E3" s="289"/>
      <c r="F3" s="289"/>
      <c r="G3" s="126"/>
      <c r="H3" s="126"/>
      <c r="I3" s="289"/>
      <c r="J3" s="114"/>
      <c r="K3" s="289"/>
    </row>
    <row r="4" spans="1:11" s="305" customFormat="1" ht="45" customHeight="1" x14ac:dyDescent="0.2">
      <c r="A4" s="205"/>
      <c r="B4" s="466" t="s">
        <v>1148</v>
      </c>
      <c r="C4" s="466"/>
      <c r="D4" s="466"/>
      <c r="E4" s="466"/>
      <c r="F4" s="466"/>
      <c r="G4" s="466"/>
      <c r="H4" s="466"/>
      <c r="I4" s="466"/>
      <c r="J4" s="114"/>
      <c r="K4" s="289"/>
    </row>
    <row r="5" spans="1:11" s="287" customFormat="1" ht="14.1" customHeight="1" x14ac:dyDescent="0.2">
      <c r="A5" s="205"/>
      <c r="B5" s="316"/>
      <c r="C5" s="460" t="s">
        <v>500</v>
      </c>
      <c r="D5" s="460"/>
      <c r="E5" s="460"/>
      <c r="F5" s="326"/>
      <c r="G5" s="460" t="s">
        <v>94</v>
      </c>
      <c r="H5" s="460"/>
      <c r="I5" s="460"/>
      <c r="J5" s="249"/>
      <c r="K5" s="326"/>
    </row>
    <row r="6" spans="1:11" s="287" customFormat="1" ht="40.15" customHeight="1" x14ac:dyDescent="0.25">
      <c r="A6" s="205"/>
      <c r="B6" s="316"/>
      <c r="C6" s="290" t="str">
        <f xml:space="preserve"> TEXT(CurrentYearEnd, "d mmmm yyyy")</f>
        <v>31 March 2022</v>
      </c>
      <c r="D6" s="290"/>
      <c r="E6" s="290" t="str">
        <f>TEXT(ComparativeYearEnd, "d mmmm yyyy")</f>
        <v>31 March 2021</v>
      </c>
      <c r="F6" s="313"/>
      <c r="G6" s="290" t="str">
        <f xml:space="preserve"> TEXT(CurrentYearEnd, "d mmmm yyyy")</f>
        <v>31 March 2022</v>
      </c>
      <c r="H6" s="317"/>
      <c r="I6" s="290" t="str">
        <f>TEXT(ComparativeYearEnd, "d mmmm yyyy")</f>
        <v>31 March 2021</v>
      </c>
      <c r="J6" s="331"/>
      <c r="K6" s="313"/>
    </row>
    <row r="7" spans="1:11" s="287" customFormat="1" ht="14.1" customHeight="1" x14ac:dyDescent="0.25">
      <c r="A7" s="205"/>
      <c r="B7" s="316"/>
      <c r="C7" s="290" t="s">
        <v>590</v>
      </c>
      <c r="D7" s="290"/>
      <c r="E7" s="290" t="s">
        <v>590</v>
      </c>
      <c r="F7" s="313"/>
      <c r="G7" s="290" t="s">
        <v>590</v>
      </c>
      <c r="H7" s="317"/>
      <c r="I7" s="290" t="s">
        <v>590</v>
      </c>
      <c r="J7" s="331"/>
      <c r="K7" s="313"/>
    </row>
    <row r="8" spans="1:11" s="287" customFormat="1" ht="14.1" customHeight="1" x14ac:dyDescent="0.25">
      <c r="A8" s="205"/>
      <c r="B8" s="327" t="s">
        <v>1149</v>
      </c>
      <c r="C8" s="219">
        <v>46449.1</v>
      </c>
      <c r="D8" s="219"/>
      <c r="E8" s="219">
        <v>50757.1</v>
      </c>
      <c r="F8" s="313"/>
      <c r="G8" s="219">
        <v>44638</v>
      </c>
      <c r="H8" s="317"/>
      <c r="I8" s="219">
        <v>48073</v>
      </c>
      <c r="J8" s="314"/>
      <c r="K8" s="313"/>
    </row>
    <row r="9" spans="1:11" s="287" customFormat="1" ht="14.1" customHeight="1" x14ac:dyDescent="0.25">
      <c r="A9" s="205"/>
      <c r="B9" s="327" t="s">
        <v>1150</v>
      </c>
      <c r="C9" s="219">
        <v>7400</v>
      </c>
      <c r="D9" s="219"/>
      <c r="E9" s="219">
        <v>7399.1</v>
      </c>
      <c r="F9" s="313"/>
      <c r="G9" s="219">
        <v>7400</v>
      </c>
      <c r="H9" s="317"/>
      <c r="I9" s="219">
        <v>7399.1</v>
      </c>
      <c r="J9" s="314"/>
      <c r="K9" s="313"/>
    </row>
    <row r="10" spans="1:11" s="287" customFormat="1" ht="14.1" customHeight="1" x14ac:dyDescent="0.25">
      <c r="A10" s="205"/>
      <c r="B10" s="327" t="s">
        <v>1151</v>
      </c>
      <c r="C10" s="219">
        <v>22943.921459999998</v>
      </c>
      <c r="D10" s="219"/>
      <c r="E10" s="219">
        <v>24784.821459999999</v>
      </c>
      <c r="F10" s="313"/>
      <c r="G10" s="219">
        <v>22944</v>
      </c>
      <c r="H10" s="317"/>
      <c r="I10" s="219">
        <v>24784.821459999999</v>
      </c>
      <c r="J10" s="314"/>
      <c r="K10" s="313"/>
    </row>
    <row r="11" spans="1:11" s="287" customFormat="1" ht="14.1" customHeight="1" thickBot="1" x14ac:dyDescent="0.3">
      <c r="A11" s="205"/>
      <c r="B11" s="289" t="s">
        <v>589</v>
      </c>
      <c r="C11" s="206">
        <f>SUM(C8:C10)</f>
        <v>76793.021459999989</v>
      </c>
      <c r="D11" s="317"/>
      <c r="E11" s="206">
        <f>SUM(E8:E10)</f>
        <v>82941.021459999989</v>
      </c>
      <c r="F11" s="313"/>
      <c r="G11" s="206">
        <f>SUM(G8:G10)</f>
        <v>74982</v>
      </c>
      <c r="H11" s="317"/>
      <c r="I11" s="206">
        <f>SUM(I8:I10)</f>
        <v>80256.921459999998</v>
      </c>
      <c r="J11" s="314"/>
      <c r="K11" s="313"/>
    </row>
    <row r="12" spans="1:11" s="287" customFormat="1" ht="14.1" customHeight="1" thickTop="1" x14ac:dyDescent="0.25">
      <c r="A12" s="205"/>
      <c r="B12" s="316"/>
      <c r="C12" s="316"/>
      <c r="D12" s="316"/>
      <c r="E12" s="316"/>
      <c r="F12" s="316"/>
      <c r="G12" s="316"/>
      <c r="H12" s="317"/>
      <c r="I12" s="313"/>
      <c r="J12" s="314"/>
      <c r="K12" s="313"/>
    </row>
    <row r="13" spans="1:11" ht="14.1" customHeight="1" x14ac:dyDescent="0.2">
      <c r="A13" s="205">
        <f>ROUNDDOWN('L&amp;SP, gifts'!A3,0)+1</f>
        <v>30</v>
      </c>
      <c r="B13" s="316" t="str">
        <f>"Note "&amp;A13&amp; " Losses and special payments"</f>
        <v>Note 30 Losses and special payments</v>
      </c>
      <c r="C13" s="316"/>
      <c r="D13" s="316"/>
      <c r="E13" s="316"/>
      <c r="F13" s="316"/>
      <c r="G13" s="316"/>
      <c r="H13" s="316"/>
      <c r="I13" s="316"/>
      <c r="J13" s="314"/>
      <c r="K13" s="313"/>
    </row>
    <row r="14" spans="1:11" ht="14.1" customHeight="1" x14ac:dyDescent="0.2">
      <c r="A14" s="205"/>
      <c r="B14" s="316"/>
      <c r="C14" s="460" t="str">
        <f>CurrentFY</f>
        <v>2021/22</v>
      </c>
      <c r="D14" s="460"/>
      <c r="E14" s="460"/>
      <c r="F14" s="323"/>
      <c r="G14" s="460" t="str">
        <f>ComparativeFY</f>
        <v>2020/21</v>
      </c>
      <c r="H14" s="460"/>
      <c r="I14" s="460"/>
      <c r="J14" s="313"/>
      <c r="K14" s="313"/>
    </row>
    <row r="15" spans="1:11" ht="36" customHeight="1" x14ac:dyDescent="0.2">
      <c r="A15" s="205"/>
      <c r="B15" s="316" t="s">
        <v>1152</v>
      </c>
      <c r="C15" s="290" t="s">
        <v>1153</v>
      </c>
      <c r="D15" s="290"/>
      <c r="E15" s="290" t="s">
        <v>1154</v>
      </c>
      <c r="F15" s="290"/>
      <c r="G15" s="290" t="s">
        <v>1153</v>
      </c>
      <c r="H15" s="290"/>
      <c r="I15" s="290" t="s">
        <v>1154</v>
      </c>
      <c r="J15" s="313"/>
      <c r="K15" s="313"/>
    </row>
    <row r="16" spans="1:11" ht="14.1" customHeight="1" x14ac:dyDescent="0.2">
      <c r="A16" s="205"/>
      <c r="B16" s="316"/>
      <c r="C16" s="290" t="s">
        <v>1077</v>
      </c>
      <c r="D16" s="290"/>
      <c r="E16" s="290" t="s">
        <v>590</v>
      </c>
      <c r="F16" s="290"/>
      <c r="G16" s="290" t="s">
        <v>1077</v>
      </c>
      <c r="H16" s="290"/>
      <c r="I16" s="290" t="s">
        <v>590</v>
      </c>
      <c r="J16" s="313"/>
      <c r="K16" s="313"/>
    </row>
    <row r="17" spans="1:11" ht="14.1" customHeight="1" x14ac:dyDescent="0.2">
      <c r="A17" s="205"/>
      <c r="B17" s="316" t="s">
        <v>1155</v>
      </c>
      <c r="C17" s="219"/>
      <c r="D17" s="219"/>
      <c r="E17" s="219"/>
      <c r="F17" s="219"/>
      <c r="G17" s="219"/>
      <c r="H17" s="219"/>
      <c r="I17" s="219"/>
      <c r="J17" s="313"/>
      <c r="K17" s="313"/>
    </row>
    <row r="18" spans="1:11" s="53" customFormat="1" ht="14.1" customHeight="1" x14ac:dyDescent="0.2">
      <c r="A18" s="205"/>
      <c r="B18" s="327" t="s">
        <v>1156</v>
      </c>
      <c r="C18" s="219">
        <v>706</v>
      </c>
      <c r="D18" s="219"/>
      <c r="E18" s="219">
        <v>55.198729999999955</v>
      </c>
      <c r="F18" s="219"/>
      <c r="G18" s="219">
        <v>45</v>
      </c>
      <c r="H18" s="219"/>
      <c r="I18" s="219">
        <v>154.43387999999999</v>
      </c>
      <c r="J18" s="313"/>
      <c r="K18" s="313"/>
    </row>
    <row r="19" spans="1:11" s="53" customFormat="1" ht="14.1" customHeight="1" x14ac:dyDescent="0.2">
      <c r="A19" s="205"/>
      <c r="B19" s="327" t="s">
        <v>1157</v>
      </c>
      <c r="C19" s="219">
        <v>72</v>
      </c>
      <c r="D19" s="219"/>
      <c r="E19" s="219">
        <v>3.7329099999999995</v>
      </c>
      <c r="F19" s="219"/>
      <c r="G19" s="219">
        <v>170</v>
      </c>
      <c r="H19" s="219"/>
      <c r="I19" s="219">
        <v>169.65427</v>
      </c>
      <c r="J19" s="313"/>
    </row>
    <row r="20" spans="1:11" s="53" customFormat="1" ht="14.1" customHeight="1" x14ac:dyDescent="0.2">
      <c r="A20" s="205"/>
      <c r="B20" s="327" t="s">
        <v>1158</v>
      </c>
      <c r="C20" s="219">
        <v>1874</v>
      </c>
      <c r="D20" s="219"/>
      <c r="E20" s="219">
        <v>168.39906999999999</v>
      </c>
      <c r="F20" s="219"/>
      <c r="G20" s="219">
        <v>807</v>
      </c>
      <c r="H20" s="219"/>
      <c r="I20" s="219">
        <v>98.270450000000011</v>
      </c>
      <c r="J20" s="313"/>
    </row>
    <row r="21" spans="1:11" s="53" customFormat="1" ht="14.1" hidden="1" customHeight="1" x14ac:dyDescent="0.2">
      <c r="A21" s="205"/>
      <c r="B21" s="327" t="s">
        <v>1159</v>
      </c>
      <c r="C21" s="219">
        <v>0</v>
      </c>
      <c r="D21" s="219"/>
      <c r="E21" s="219">
        <v>0</v>
      </c>
      <c r="F21" s="219"/>
      <c r="G21" s="219">
        <v>0</v>
      </c>
      <c r="H21" s="219"/>
      <c r="I21" s="219">
        <v>0</v>
      </c>
      <c r="J21" s="313"/>
    </row>
    <row r="22" spans="1:11" s="53" customFormat="1" ht="14.1" customHeight="1" x14ac:dyDescent="0.2">
      <c r="A22" s="205"/>
      <c r="B22" s="316" t="s">
        <v>1160</v>
      </c>
      <c r="C22" s="207">
        <f>SUM(C18:C21)</f>
        <v>2652</v>
      </c>
      <c r="D22" s="207"/>
      <c r="E22" s="207">
        <f>SUM(E18:E21)</f>
        <v>227.33070999999995</v>
      </c>
      <c r="F22" s="219"/>
      <c r="G22" s="207">
        <f>SUM(G18:G21)</f>
        <v>1022</v>
      </c>
      <c r="H22" s="207"/>
      <c r="I22" s="207">
        <f>SUM(I18:I21)</f>
        <v>422.35860000000002</v>
      </c>
      <c r="J22" s="313"/>
    </row>
    <row r="23" spans="1:11" s="53" customFormat="1" ht="14.1" customHeight="1" x14ac:dyDescent="0.2">
      <c r="A23" s="205"/>
      <c r="B23" s="316" t="s">
        <v>1161</v>
      </c>
      <c r="C23" s="219"/>
      <c r="D23" s="219"/>
      <c r="E23" s="219"/>
      <c r="F23" s="219"/>
      <c r="G23" s="219"/>
      <c r="H23" s="219"/>
      <c r="I23" s="219"/>
      <c r="J23" s="313"/>
    </row>
    <row r="24" spans="1:11" s="53" customFormat="1" ht="25.5" hidden="1" customHeight="1" x14ac:dyDescent="0.2">
      <c r="A24" s="205"/>
      <c r="B24" s="327" t="s">
        <v>1162</v>
      </c>
      <c r="C24" s="219">
        <v>0</v>
      </c>
      <c r="D24" s="219"/>
      <c r="E24" s="219">
        <v>0</v>
      </c>
      <c r="F24" s="219"/>
      <c r="G24" s="219">
        <v>0</v>
      </c>
      <c r="H24" s="219"/>
      <c r="I24" s="219">
        <v>0</v>
      </c>
      <c r="J24" s="313"/>
    </row>
    <row r="25" spans="1:11" s="53" customFormat="1" ht="14.1" hidden="1" customHeight="1" x14ac:dyDescent="0.2">
      <c r="A25" s="205"/>
      <c r="B25" s="327" t="s">
        <v>1163</v>
      </c>
      <c r="C25" s="219">
        <v>0</v>
      </c>
      <c r="D25" s="219"/>
      <c r="E25" s="219">
        <v>0</v>
      </c>
      <c r="F25" s="219"/>
      <c r="G25" s="219">
        <v>0</v>
      </c>
      <c r="H25" s="219"/>
      <c r="I25" s="219">
        <v>0</v>
      </c>
      <c r="J25" s="313"/>
    </row>
    <row r="26" spans="1:11" s="53" customFormat="1" ht="14.1" customHeight="1" x14ac:dyDescent="0.2">
      <c r="A26" s="205"/>
      <c r="B26" s="327" t="s">
        <v>1455</v>
      </c>
      <c r="C26" s="219">
        <v>112</v>
      </c>
      <c r="D26" s="219"/>
      <c r="E26" s="219">
        <v>88</v>
      </c>
      <c r="F26" s="219"/>
      <c r="G26" s="219">
        <v>0</v>
      </c>
      <c r="H26" s="219"/>
      <c r="I26" s="219">
        <v>0</v>
      </c>
      <c r="J26" s="313"/>
    </row>
    <row r="27" spans="1:11" s="53" customFormat="1" ht="14.1" hidden="1" customHeight="1" x14ac:dyDescent="0.2">
      <c r="A27" s="205"/>
      <c r="B27" s="327" t="s">
        <v>1164</v>
      </c>
      <c r="C27" s="219">
        <v>0</v>
      </c>
      <c r="D27" s="219"/>
      <c r="E27" s="219">
        <v>0</v>
      </c>
      <c r="F27" s="219"/>
      <c r="G27" s="219">
        <v>0</v>
      </c>
      <c r="H27" s="219"/>
      <c r="I27" s="219">
        <v>0</v>
      </c>
      <c r="J27" s="313"/>
    </row>
    <row r="28" spans="1:11" s="53" customFormat="1" ht="14.1" hidden="1" customHeight="1" x14ac:dyDescent="0.2">
      <c r="A28" s="205"/>
      <c r="B28" s="327" t="s">
        <v>1165</v>
      </c>
      <c r="C28" s="219">
        <v>0</v>
      </c>
      <c r="D28" s="219"/>
      <c r="E28" s="219">
        <v>0</v>
      </c>
      <c r="F28" s="219"/>
      <c r="G28" s="219">
        <v>0</v>
      </c>
      <c r="H28" s="219"/>
      <c r="I28" s="219">
        <v>0</v>
      </c>
      <c r="J28" s="313"/>
    </row>
    <row r="29" spans="1:11" ht="14.1" customHeight="1" x14ac:dyDescent="0.2">
      <c r="A29" s="205"/>
      <c r="B29" s="316" t="s">
        <v>1166</v>
      </c>
      <c r="C29" s="207">
        <f>SUM(C24:C28)</f>
        <v>112</v>
      </c>
      <c r="D29" s="207"/>
      <c r="E29" s="207">
        <f>SUM(E24:E28)</f>
        <v>88</v>
      </c>
      <c r="F29" s="219"/>
      <c r="G29" s="207">
        <f>SUM(G24:G28)</f>
        <v>0</v>
      </c>
      <c r="H29" s="207"/>
      <c r="I29" s="207">
        <f>SUM(I24:I28)</f>
        <v>0</v>
      </c>
      <c r="J29" s="313"/>
    </row>
    <row r="30" spans="1:11" ht="14.1" customHeight="1" thickBot="1" x14ac:dyDescent="0.25">
      <c r="A30" s="205"/>
      <c r="B30" s="289" t="s">
        <v>1167</v>
      </c>
      <c r="C30" s="206">
        <f>C22+C29</f>
        <v>2764</v>
      </c>
      <c r="D30" s="206"/>
      <c r="E30" s="206">
        <f>E22+E29</f>
        <v>315.33070999999995</v>
      </c>
      <c r="F30" s="181"/>
      <c r="G30" s="206">
        <f>G22+G29</f>
        <v>1022</v>
      </c>
      <c r="H30" s="206"/>
      <c r="I30" s="206">
        <f>I22+I29</f>
        <v>422.35860000000002</v>
      </c>
      <c r="J30" s="173"/>
    </row>
    <row r="31" spans="1:11" ht="14.1" customHeight="1" thickTop="1" x14ac:dyDescent="0.2">
      <c r="A31" s="205"/>
      <c r="B31" s="318" t="s">
        <v>1168</v>
      </c>
      <c r="C31" s="219"/>
      <c r="D31" s="219"/>
      <c r="E31" s="219">
        <v>0</v>
      </c>
      <c r="F31" s="219"/>
      <c r="G31" s="219"/>
      <c r="H31" s="219"/>
      <c r="I31" s="219">
        <v>0</v>
      </c>
      <c r="J31" s="173"/>
    </row>
    <row r="32" spans="1:11" ht="14.1" customHeight="1" x14ac:dyDescent="0.2">
      <c r="A32" s="205"/>
      <c r="B32" s="316"/>
      <c r="C32" s="188"/>
      <c r="D32" s="188"/>
      <c r="E32" s="188"/>
      <c r="F32" s="203"/>
      <c r="G32" s="188"/>
      <c r="H32" s="188"/>
      <c r="I32" s="188"/>
      <c r="J32" s="173"/>
    </row>
    <row r="33" spans="1:10" ht="40.5" customHeight="1" x14ac:dyDescent="0.2">
      <c r="A33" s="205"/>
      <c r="B33" s="478" t="s">
        <v>1456</v>
      </c>
      <c r="C33" s="478"/>
      <c r="D33" s="478"/>
      <c r="E33" s="478"/>
      <c r="F33" s="478"/>
      <c r="G33" s="478"/>
      <c r="H33" s="478"/>
      <c r="I33" s="478"/>
      <c r="J33" s="313"/>
    </row>
    <row r="34" spans="1:10" ht="14.1" customHeight="1" x14ac:dyDescent="0.2">
      <c r="A34" s="205"/>
      <c r="B34" s="473"/>
      <c r="C34" s="473"/>
      <c r="D34" s="473"/>
      <c r="E34" s="473"/>
      <c r="F34" s="473"/>
      <c r="G34" s="473"/>
      <c r="H34" s="473"/>
      <c r="I34" s="473"/>
      <c r="J34" s="313"/>
    </row>
    <row r="35" spans="1:10" ht="14.1" customHeight="1" x14ac:dyDescent="0.2">
      <c r="A35" s="205"/>
      <c r="B35" s="477"/>
      <c r="C35" s="473"/>
      <c r="D35" s="473"/>
      <c r="E35" s="473"/>
      <c r="F35" s="473"/>
      <c r="G35" s="473"/>
      <c r="H35" s="473"/>
      <c r="I35" s="473"/>
    </row>
    <row r="36" spans="1:10" s="138" customFormat="1" ht="14.1" customHeight="1" x14ac:dyDescent="0.2">
      <c r="A36" s="205"/>
      <c r="B36" s="313"/>
      <c r="C36" s="171"/>
      <c r="D36" s="171"/>
      <c r="E36" s="171"/>
      <c r="F36" s="171"/>
      <c r="G36" s="171"/>
      <c r="H36" s="171"/>
      <c r="I36" s="171"/>
    </row>
    <row r="61" spans="1:10" s="146" customFormat="1" ht="14.1" customHeight="1" x14ac:dyDescent="0.2">
      <c r="A61" s="205"/>
      <c r="B61" s="319"/>
      <c r="C61" s="319"/>
      <c r="D61" s="319"/>
      <c r="E61" s="319"/>
      <c r="F61" s="319"/>
      <c r="G61" s="319"/>
      <c r="H61" s="319"/>
      <c r="I61" s="319"/>
      <c r="J61" s="313"/>
    </row>
    <row r="62" spans="1:10" ht="14.1" customHeight="1" x14ac:dyDescent="0.2">
      <c r="A62" s="205"/>
      <c r="B62" s="313"/>
      <c r="C62" s="313"/>
      <c r="D62" s="313"/>
      <c r="E62" s="313"/>
      <c r="F62" s="313"/>
      <c r="G62" s="313"/>
      <c r="H62" s="313"/>
      <c r="I62" s="313"/>
      <c r="J62" s="313"/>
    </row>
    <row r="65" spans="1:10" ht="13.7" customHeight="1" x14ac:dyDescent="0.2">
      <c r="A65" s="205"/>
      <c r="B65" s="313"/>
      <c r="C65" s="313"/>
      <c r="D65" s="313"/>
      <c r="E65" s="313"/>
      <c r="F65" s="313"/>
      <c r="G65" s="313"/>
      <c r="H65" s="313"/>
      <c r="I65" s="313"/>
      <c r="J65" s="313"/>
    </row>
    <row r="66" spans="1:10" ht="13.7" customHeight="1" x14ac:dyDescent="0.2">
      <c r="A66" s="205"/>
      <c r="B66" s="313"/>
      <c r="C66" s="313"/>
      <c r="D66" s="313"/>
      <c r="E66" s="313"/>
      <c r="F66" s="313"/>
      <c r="G66" s="313"/>
      <c r="H66" s="313"/>
      <c r="I66" s="313"/>
      <c r="J66" s="313"/>
    </row>
    <row r="67" spans="1:10" ht="26.45" customHeight="1" x14ac:dyDescent="0.2">
      <c r="A67" s="205"/>
      <c r="B67" s="313"/>
      <c r="C67" s="313"/>
      <c r="D67" s="313"/>
      <c r="E67" s="313"/>
      <c r="F67" s="313"/>
      <c r="G67" s="313"/>
      <c r="H67" s="313"/>
      <c r="I67" s="313"/>
      <c r="J67" s="313"/>
    </row>
  </sheetData>
  <customSheetViews>
    <customSheetView guid="{EDC1BD6E-863A-4FC6-A3A9-F32079F4F0C1}">
      <selection activeCell="G38" sqref="G38"/>
      <pageMargins left="0" right="0" top="0" bottom="0" header="0" footer="0"/>
      <pageSetup paperSize="9" orientation="portrait" verticalDpi="0" r:id="rId1"/>
    </customSheetView>
  </customSheetViews>
  <mergeCells count="8">
    <mergeCell ref="C14:E14"/>
    <mergeCell ref="G14:I14"/>
    <mergeCell ref="B34:I34"/>
    <mergeCell ref="B35:I35"/>
    <mergeCell ref="B4:I4"/>
    <mergeCell ref="G5:I5"/>
    <mergeCell ref="C5:E5"/>
    <mergeCell ref="B33:I33"/>
  </mergeCells>
  <pageMargins left="0.70866141732283472" right="0.70866141732283472" top="0.74803149606299213" bottom="0.74803149606299213" header="0.31496062992125984" footer="0.31496062992125984"/>
  <pageSetup paperSize="9" fitToHeight="0" orientation="portrait" verticalDpi="0" r:id="rId2"/>
  <headerFooter>
    <oddFooter>&amp;RPage &amp;P of &amp;N</oddFooter>
  </headerFooter>
  <ignoredErrors>
    <ignoredError sqref="C7:I7"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4">
    <pageSetUpPr fitToPage="1"/>
  </sheetPr>
  <dimension ref="A1:L236"/>
  <sheetViews>
    <sheetView showGridLines="0" zoomScaleNormal="100" workbookViewId="0">
      <selection activeCell="S19" sqref="S19"/>
    </sheetView>
  </sheetViews>
  <sheetFormatPr defaultRowHeight="15" x14ac:dyDescent="0.25"/>
  <cols>
    <col min="1" max="1" width="1.85546875" style="39" customWidth="1"/>
    <col min="2" max="2" width="45.42578125" customWidth="1"/>
    <col min="4" max="4" width="0.85546875" customWidth="1"/>
    <col min="6" max="6" width="1.140625" customWidth="1"/>
    <col min="8" max="8" width="0.7109375" customWidth="1"/>
  </cols>
  <sheetData>
    <row r="1" spans="1:12" s="317" customFormat="1" x14ac:dyDescent="0.25">
      <c r="A1" s="350" t="s">
        <v>1310</v>
      </c>
      <c r="B1" s="351"/>
      <c r="C1" s="351"/>
      <c r="D1" s="351"/>
      <c r="E1" s="351"/>
      <c r="F1" s="351"/>
      <c r="G1" s="351"/>
      <c r="H1" s="351"/>
      <c r="I1" s="351"/>
    </row>
    <row r="2" spans="1:12" s="317" customFormat="1" x14ac:dyDescent="0.25">
      <c r="A2" s="177"/>
    </row>
    <row r="3" spans="1:12" x14ac:dyDescent="0.25">
      <c r="A3" s="177">
        <f>ROUNDDOWN('L&amp;SP, gifts'!A13,0)+1</f>
        <v>31</v>
      </c>
      <c r="B3" s="316" t="str">
        <f>"Note " &amp;A3 &amp; " Related parties"</f>
        <v>Note 31 Related parties</v>
      </c>
      <c r="C3" s="317"/>
      <c r="D3" s="317"/>
      <c r="E3" s="317"/>
      <c r="F3" s="317"/>
      <c r="G3" s="317"/>
      <c r="H3" s="317"/>
      <c r="I3" s="317"/>
      <c r="J3" s="317"/>
      <c r="K3" s="313"/>
      <c r="L3" s="313"/>
    </row>
    <row r="4" spans="1:12" s="21" customFormat="1" ht="35.25" customHeight="1" x14ac:dyDescent="0.2">
      <c r="A4" s="313"/>
      <c r="B4" s="479" t="s">
        <v>1362</v>
      </c>
      <c r="C4" s="479"/>
      <c r="D4" s="479"/>
      <c r="E4" s="479"/>
      <c r="F4" s="479"/>
      <c r="G4" s="479"/>
      <c r="H4" s="479"/>
      <c r="I4" s="479"/>
      <c r="J4" s="313"/>
      <c r="K4" s="313"/>
      <c r="L4" s="313"/>
    </row>
    <row r="5" spans="1:12" s="143" customFormat="1" ht="41.1" customHeight="1" x14ac:dyDescent="0.2">
      <c r="A5" s="313"/>
      <c r="B5" s="479" t="s">
        <v>1363</v>
      </c>
      <c r="C5" s="479"/>
      <c r="D5" s="479"/>
      <c r="E5" s="479"/>
      <c r="F5" s="479"/>
      <c r="G5" s="479"/>
      <c r="H5" s="479"/>
      <c r="I5" s="479"/>
      <c r="J5" s="313"/>
      <c r="K5" s="313"/>
      <c r="L5" s="313"/>
    </row>
    <row r="6" spans="1:12" s="144" customFormat="1" ht="44.1" customHeight="1" x14ac:dyDescent="0.2">
      <c r="A6" s="313"/>
      <c r="B6" s="479" t="s">
        <v>1364</v>
      </c>
      <c r="C6" s="479"/>
      <c r="D6" s="479"/>
      <c r="E6" s="479"/>
      <c r="F6" s="479"/>
      <c r="G6" s="479"/>
      <c r="H6" s="479"/>
      <c r="I6" s="479"/>
      <c r="J6" s="313"/>
      <c r="K6" s="313"/>
      <c r="L6" s="313"/>
    </row>
    <row r="7" spans="1:12" s="144" customFormat="1" ht="39.75" customHeight="1" x14ac:dyDescent="0.2">
      <c r="A7" s="313"/>
      <c r="B7" s="479" t="s">
        <v>1365</v>
      </c>
      <c r="C7" s="479"/>
      <c r="D7" s="479"/>
      <c r="E7" s="479"/>
      <c r="F7" s="479"/>
      <c r="G7" s="479"/>
      <c r="H7" s="479"/>
      <c r="I7" s="479"/>
      <c r="J7" s="313"/>
      <c r="K7" s="313"/>
      <c r="L7" s="313"/>
    </row>
    <row r="8" spans="1:12" s="252" customFormat="1" ht="12" x14ac:dyDescent="0.2">
      <c r="A8" s="313"/>
      <c r="B8" s="479"/>
      <c r="C8" s="479"/>
      <c r="D8" s="479"/>
      <c r="E8" s="479"/>
      <c r="F8" s="479"/>
      <c r="G8" s="479"/>
      <c r="H8" s="479"/>
      <c r="I8" s="479"/>
      <c r="J8" s="313"/>
      <c r="K8" s="313"/>
      <c r="L8" s="313"/>
    </row>
    <row r="9" spans="1:12" s="143" customFormat="1" ht="12" x14ac:dyDescent="0.2">
      <c r="A9" s="313"/>
      <c r="B9" s="479" t="s">
        <v>1366</v>
      </c>
      <c r="C9" s="479"/>
      <c r="D9" s="479"/>
      <c r="E9" s="479"/>
      <c r="F9" s="479"/>
      <c r="G9" s="479"/>
      <c r="H9" s="479"/>
      <c r="I9" s="479"/>
      <c r="J9" s="313"/>
      <c r="K9" s="313"/>
      <c r="L9" s="313"/>
    </row>
    <row r="10" spans="1:12" s="252" customFormat="1" ht="35.25" customHeight="1" x14ac:dyDescent="0.2">
      <c r="A10" s="313"/>
      <c r="B10" s="479" t="s">
        <v>1367</v>
      </c>
      <c r="C10" s="479"/>
      <c r="D10" s="479"/>
      <c r="E10" s="479"/>
      <c r="F10" s="479"/>
      <c r="G10" s="479"/>
      <c r="H10" s="479"/>
      <c r="I10" s="479"/>
      <c r="J10" s="313"/>
      <c r="K10" s="313"/>
      <c r="L10" s="313"/>
    </row>
    <row r="11" spans="1:12" s="252" customFormat="1" ht="42.95" customHeight="1" x14ac:dyDescent="0.2">
      <c r="A11" s="313"/>
      <c r="B11" s="480" t="s">
        <v>1427</v>
      </c>
      <c r="C11" s="480"/>
      <c r="D11" s="480"/>
      <c r="E11" s="480"/>
      <c r="F11" s="480"/>
      <c r="G11" s="480"/>
      <c r="H11" s="480"/>
      <c r="I11" s="480"/>
      <c r="J11" s="313"/>
      <c r="K11" s="313"/>
      <c r="L11" s="313"/>
    </row>
    <row r="12" spans="1:12" s="287" customFormat="1" ht="12" x14ac:dyDescent="0.2">
      <c r="A12" s="313"/>
      <c r="B12" s="479"/>
      <c r="C12" s="479"/>
      <c r="D12" s="479"/>
      <c r="E12" s="479"/>
      <c r="F12" s="479"/>
      <c r="G12" s="479"/>
      <c r="H12" s="479"/>
      <c r="I12" s="479"/>
      <c r="J12" s="313"/>
      <c r="K12" s="313"/>
      <c r="L12" s="313"/>
    </row>
    <row r="13" spans="1:12" s="252" customFormat="1" ht="24" customHeight="1" x14ac:dyDescent="0.2">
      <c r="A13" s="313"/>
      <c r="B13" s="480" t="s">
        <v>1428</v>
      </c>
      <c r="C13" s="480"/>
      <c r="D13" s="480"/>
      <c r="E13" s="480"/>
      <c r="F13" s="480"/>
      <c r="G13" s="480"/>
      <c r="H13" s="480"/>
      <c r="I13" s="480"/>
      <c r="J13" s="313"/>
      <c r="K13" s="313"/>
      <c r="L13" s="313"/>
    </row>
    <row r="14" spans="1:12" s="143" customFormat="1" ht="12.75" x14ac:dyDescent="0.2">
      <c r="A14" s="313"/>
      <c r="B14" s="433"/>
      <c r="C14" s="434"/>
      <c r="D14" s="434"/>
      <c r="E14" s="434"/>
      <c r="F14" s="208"/>
      <c r="G14" s="208"/>
      <c r="H14" s="208"/>
      <c r="I14" s="208"/>
      <c r="J14" s="313"/>
      <c r="K14" s="313"/>
      <c r="L14" s="313"/>
    </row>
    <row r="15" spans="1:12" s="143" customFormat="1" ht="27" customHeight="1" x14ac:dyDescent="0.2">
      <c r="A15" s="313"/>
      <c r="B15" s="479" t="s">
        <v>1368</v>
      </c>
      <c r="C15" s="479"/>
      <c r="D15" s="479"/>
      <c r="E15" s="479"/>
      <c r="F15" s="479"/>
      <c r="G15" s="479"/>
      <c r="H15" s="479"/>
      <c r="I15" s="479"/>
      <c r="J15" s="313"/>
      <c r="K15" s="313"/>
      <c r="L15" s="313"/>
    </row>
    <row r="16" spans="1:12" s="143" customFormat="1" ht="13.7" customHeight="1" x14ac:dyDescent="0.2">
      <c r="A16" s="313"/>
      <c r="B16" s="386"/>
      <c r="C16" s="386"/>
      <c r="D16" s="386"/>
      <c r="E16" s="386"/>
      <c r="F16" s="386"/>
      <c r="G16" s="386"/>
      <c r="H16" s="386"/>
      <c r="I16" s="386"/>
      <c r="J16" s="313"/>
      <c r="K16" s="313"/>
      <c r="L16" s="313"/>
    </row>
    <row r="17" spans="1:11" ht="13.7" customHeight="1" x14ac:dyDescent="0.25">
      <c r="A17" s="177"/>
      <c r="B17" s="317"/>
      <c r="C17" s="317"/>
      <c r="D17" s="317"/>
      <c r="E17" s="317"/>
      <c r="F17" s="317"/>
      <c r="G17" s="317"/>
      <c r="H17" s="317"/>
      <c r="I17" s="317"/>
      <c r="J17" s="317"/>
      <c r="K17" s="317"/>
    </row>
    <row r="18" spans="1:11" ht="13.7" customHeight="1" x14ac:dyDescent="0.25">
      <c r="A18" s="177"/>
      <c r="B18" s="317"/>
      <c r="C18" s="317"/>
      <c r="D18" s="317"/>
      <c r="E18" s="317"/>
      <c r="F18" s="317"/>
      <c r="G18" s="317"/>
      <c r="H18" s="317"/>
      <c r="I18" s="317"/>
      <c r="J18" s="317"/>
      <c r="K18" s="317"/>
    </row>
    <row r="19" spans="1:11" ht="13.7" customHeight="1" x14ac:dyDescent="0.25">
      <c r="A19" s="177"/>
      <c r="B19" s="317"/>
      <c r="C19" s="317"/>
      <c r="D19" s="317"/>
      <c r="E19" s="317"/>
      <c r="F19" s="317"/>
      <c r="G19" s="317"/>
      <c r="H19" s="317"/>
      <c r="I19" s="317"/>
      <c r="J19" s="317"/>
      <c r="K19" s="317"/>
    </row>
    <row r="20" spans="1:11" ht="13.7" customHeight="1" x14ac:dyDescent="0.25">
      <c r="A20" s="177"/>
      <c r="B20" s="317"/>
      <c r="C20" s="317"/>
      <c r="D20" s="317"/>
      <c r="E20" s="317"/>
      <c r="F20" s="317"/>
      <c r="G20" s="317"/>
      <c r="H20" s="317"/>
      <c r="I20" s="317"/>
      <c r="J20" s="317"/>
      <c r="K20" s="317"/>
    </row>
    <row r="21" spans="1:11" ht="13.7" customHeight="1" x14ac:dyDescent="0.25">
      <c r="A21" s="177"/>
      <c r="B21" s="317"/>
      <c r="C21" s="317"/>
      <c r="D21" s="317"/>
      <c r="E21" s="317"/>
      <c r="F21" s="317"/>
      <c r="G21" s="317"/>
      <c r="H21" s="317"/>
      <c r="I21" s="317"/>
      <c r="J21" s="317"/>
      <c r="K21" s="317"/>
    </row>
    <row r="22" spans="1:11" ht="13.7" customHeight="1" x14ac:dyDescent="0.25">
      <c r="A22" s="177"/>
      <c r="B22" s="317"/>
      <c r="C22" s="317"/>
      <c r="D22" s="317"/>
      <c r="E22" s="317"/>
      <c r="F22" s="317"/>
      <c r="G22" s="317"/>
      <c r="H22" s="317"/>
      <c r="I22" s="317"/>
      <c r="J22" s="317"/>
      <c r="K22" s="317"/>
    </row>
    <row r="23" spans="1:11" ht="13.7" customHeight="1" x14ac:dyDescent="0.25">
      <c r="A23" s="177"/>
      <c r="B23" s="317"/>
      <c r="C23" s="317"/>
      <c r="D23" s="317"/>
      <c r="E23" s="317"/>
      <c r="F23" s="317"/>
      <c r="G23" s="317"/>
      <c r="H23" s="317"/>
      <c r="I23" s="317"/>
      <c r="J23" s="317"/>
      <c r="K23" s="317"/>
    </row>
    <row r="24" spans="1:11" ht="13.7" customHeight="1" x14ac:dyDescent="0.25">
      <c r="A24" s="177"/>
      <c r="B24" s="317"/>
      <c r="C24" s="317"/>
      <c r="D24" s="317"/>
      <c r="E24" s="317"/>
      <c r="F24" s="317"/>
      <c r="G24" s="317"/>
      <c r="H24" s="317"/>
      <c r="I24" s="317"/>
      <c r="J24" s="317"/>
      <c r="K24" s="317"/>
    </row>
    <row r="25" spans="1:11" ht="13.7" customHeight="1" x14ac:dyDescent="0.25">
      <c r="A25" s="177"/>
      <c r="B25" s="317"/>
      <c r="C25" s="317"/>
      <c r="D25" s="317"/>
      <c r="E25" s="317"/>
      <c r="F25" s="317"/>
      <c r="G25" s="317"/>
      <c r="H25" s="317"/>
      <c r="I25" s="317"/>
      <c r="J25" s="317"/>
      <c r="K25" s="317"/>
    </row>
    <row r="26" spans="1:11" ht="13.7" customHeight="1" x14ac:dyDescent="0.25">
      <c r="A26" s="177"/>
      <c r="B26" s="317"/>
      <c r="C26" s="317"/>
      <c r="D26" s="317"/>
      <c r="E26" s="317"/>
      <c r="F26" s="317"/>
      <c r="G26" s="317"/>
      <c r="H26" s="317"/>
      <c r="I26" s="317"/>
      <c r="J26" s="317"/>
      <c r="K26" s="317"/>
    </row>
    <row r="27" spans="1:11" ht="13.7" customHeight="1" x14ac:dyDescent="0.25"/>
    <row r="28" spans="1:11" ht="13.7" customHeight="1" x14ac:dyDescent="0.25"/>
    <row r="29" spans="1:11" ht="13.7" customHeight="1" x14ac:dyDescent="0.25"/>
    <row r="30" spans="1:11" ht="13.7" customHeight="1" x14ac:dyDescent="0.25"/>
    <row r="31" spans="1:11" ht="13.7" customHeight="1" x14ac:dyDescent="0.25"/>
    <row r="32" spans="1:11" ht="13.7" customHeight="1" x14ac:dyDescent="0.25"/>
    <row r="33" ht="13.7" customHeight="1" x14ac:dyDescent="0.25"/>
    <row r="34" ht="13.7" customHeight="1" x14ac:dyDescent="0.25"/>
    <row r="35" ht="13.7" customHeight="1" x14ac:dyDescent="0.25"/>
    <row r="36" ht="13.7" customHeight="1" x14ac:dyDescent="0.25"/>
    <row r="37" ht="13.7" customHeight="1" x14ac:dyDescent="0.25"/>
    <row r="38" ht="13.7" customHeight="1" x14ac:dyDescent="0.25"/>
    <row r="39" ht="13.7" customHeight="1" x14ac:dyDescent="0.25"/>
    <row r="40" ht="13.7" customHeight="1" x14ac:dyDescent="0.25"/>
    <row r="41" ht="13.7" customHeight="1" x14ac:dyDescent="0.25"/>
    <row r="42" ht="13.7" customHeight="1" x14ac:dyDescent="0.25"/>
    <row r="43" ht="13.7" customHeight="1" x14ac:dyDescent="0.25"/>
    <row r="44" ht="13.7" customHeight="1" x14ac:dyDescent="0.25"/>
    <row r="45" ht="13.7" customHeight="1" x14ac:dyDescent="0.25"/>
    <row r="46" ht="13.7" customHeight="1" x14ac:dyDescent="0.25"/>
    <row r="47" ht="13.7" customHeight="1" x14ac:dyDescent="0.25"/>
    <row r="48" ht="13.7" customHeight="1" x14ac:dyDescent="0.25"/>
    <row r="49" ht="13.7" customHeight="1" x14ac:dyDescent="0.25"/>
    <row r="50" ht="13.7" customHeight="1" x14ac:dyDescent="0.25"/>
    <row r="51" ht="13.7" customHeight="1" x14ac:dyDescent="0.25"/>
    <row r="52" ht="13.7" customHeight="1" x14ac:dyDescent="0.25"/>
    <row r="53" ht="13.7" customHeight="1" x14ac:dyDescent="0.25"/>
    <row r="54" ht="13.7" customHeight="1" x14ac:dyDescent="0.25"/>
    <row r="55" ht="13.7" customHeight="1" x14ac:dyDescent="0.25"/>
    <row r="56" ht="13.7" customHeight="1" x14ac:dyDescent="0.25"/>
    <row r="57" ht="13.7" customHeight="1" x14ac:dyDescent="0.25"/>
    <row r="58" ht="13.7" customHeight="1" x14ac:dyDescent="0.25"/>
    <row r="59" ht="13.7" customHeight="1" x14ac:dyDescent="0.25"/>
    <row r="60" ht="13.7" customHeight="1" x14ac:dyDescent="0.25"/>
    <row r="61" ht="13.7" customHeight="1" x14ac:dyDescent="0.25"/>
    <row r="62" ht="13.7" customHeight="1" x14ac:dyDescent="0.25"/>
    <row r="63" ht="13.7" customHeight="1" x14ac:dyDescent="0.25"/>
    <row r="64" ht="13.7" customHeight="1" x14ac:dyDescent="0.25"/>
    <row r="65" ht="13.7" customHeight="1" x14ac:dyDescent="0.25"/>
    <row r="66" ht="13.7" customHeight="1" x14ac:dyDescent="0.25"/>
    <row r="67" ht="13.7" customHeight="1" x14ac:dyDescent="0.25"/>
    <row r="68" ht="13.7" customHeight="1" x14ac:dyDescent="0.25"/>
    <row r="69" ht="13.7" customHeight="1" x14ac:dyDescent="0.25"/>
    <row r="70" ht="13.7" customHeight="1" x14ac:dyDescent="0.25"/>
    <row r="71" ht="13.7" customHeight="1" x14ac:dyDescent="0.25"/>
    <row r="72" ht="13.7" customHeight="1" x14ac:dyDescent="0.25"/>
    <row r="73" ht="13.7" customHeight="1" x14ac:dyDescent="0.25"/>
    <row r="74" ht="13.7" customHeight="1" x14ac:dyDescent="0.25"/>
    <row r="75" ht="13.7" customHeight="1" x14ac:dyDescent="0.25"/>
    <row r="76" ht="13.7" customHeight="1" x14ac:dyDescent="0.25"/>
    <row r="77" ht="13.7" customHeight="1" x14ac:dyDescent="0.25"/>
    <row r="78" ht="13.7" customHeight="1" x14ac:dyDescent="0.25"/>
    <row r="79" ht="13.7" customHeight="1" x14ac:dyDescent="0.25"/>
    <row r="80" ht="13.7" customHeight="1" x14ac:dyDescent="0.25"/>
    <row r="81" ht="13.7" customHeight="1" x14ac:dyDescent="0.25"/>
    <row r="82" ht="13.7" customHeight="1" x14ac:dyDescent="0.25"/>
    <row r="83" ht="13.7" customHeight="1" x14ac:dyDescent="0.25"/>
    <row r="84" ht="13.7" customHeight="1" x14ac:dyDescent="0.25"/>
    <row r="85" ht="13.7" customHeight="1" x14ac:dyDescent="0.25"/>
    <row r="86" ht="13.7" customHeight="1" x14ac:dyDescent="0.25"/>
    <row r="87" ht="13.7" customHeight="1" x14ac:dyDescent="0.25"/>
    <row r="88" ht="13.7" customHeight="1" x14ac:dyDescent="0.25"/>
    <row r="89" ht="13.7" customHeight="1" x14ac:dyDescent="0.25"/>
    <row r="90" ht="13.7" customHeight="1" x14ac:dyDescent="0.25"/>
    <row r="91" ht="13.7" customHeight="1" x14ac:dyDescent="0.25"/>
    <row r="92" ht="13.7" customHeight="1" x14ac:dyDescent="0.25"/>
    <row r="93" ht="13.7" customHeight="1" x14ac:dyDescent="0.25"/>
    <row r="94" ht="13.7" customHeight="1" x14ac:dyDescent="0.25"/>
    <row r="95" ht="13.7" customHeight="1" x14ac:dyDescent="0.25"/>
    <row r="96" ht="13.7" customHeight="1" x14ac:dyDescent="0.25"/>
    <row r="97" ht="13.7" customHeight="1" x14ac:dyDescent="0.25"/>
    <row r="98" ht="13.7" customHeight="1" x14ac:dyDescent="0.25"/>
    <row r="99" ht="13.7" customHeight="1" x14ac:dyDescent="0.25"/>
    <row r="100" ht="13.7" customHeight="1" x14ac:dyDescent="0.25"/>
    <row r="101" ht="13.7" customHeight="1" x14ac:dyDescent="0.25"/>
    <row r="102" ht="13.7" customHeight="1" x14ac:dyDescent="0.25"/>
    <row r="103" ht="13.7" customHeight="1" x14ac:dyDescent="0.25"/>
    <row r="104" ht="13.7" customHeight="1" x14ac:dyDescent="0.25"/>
    <row r="105" ht="13.7" customHeight="1" x14ac:dyDescent="0.25"/>
    <row r="106" ht="13.7" customHeight="1" x14ac:dyDescent="0.25"/>
    <row r="107" ht="13.7" customHeight="1" x14ac:dyDescent="0.25"/>
    <row r="108" ht="13.7" customHeight="1" x14ac:dyDescent="0.25"/>
    <row r="109" ht="13.7" customHeight="1" x14ac:dyDescent="0.25"/>
    <row r="110" ht="13.7" customHeight="1" x14ac:dyDescent="0.25"/>
    <row r="111" ht="13.7" customHeight="1" x14ac:dyDescent="0.25"/>
    <row r="112" ht="13.7" customHeight="1" x14ac:dyDescent="0.25"/>
    <row r="113" ht="13.7" customHeight="1" x14ac:dyDescent="0.25"/>
    <row r="114" ht="13.7" customHeight="1" x14ac:dyDescent="0.25"/>
    <row r="115" ht="13.7" customHeight="1" x14ac:dyDescent="0.25"/>
    <row r="116" ht="13.7" customHeight="1" x14ac:dyDescent="0.25"/>
    <row r="117" ht="13.7" customHeight="1" x14ac:dyDescent="0.25"/>
    <row r="118" ht="13.7" customHeight="1" x14ac:dyDescent="0.25"/>
    <row r="119" ht="13.7" customHeight="1" x14ac:dyDescent="0.25"/>
    <row r="120" ht="13.7" customHeight="1" x14ac:dyDescent="0.25"/>
    <row r="121" ht="13.7" customHeight="1" x14ac:dyDescent="0.25"/>
    <row r="122" ht="13.7" customHeight="1" x14ac:dyDescent="0.25"/>
    <row r="123" ht="13.7" customHeight="1" x14ac:dyDescent="0.25"/>
    <row r="124" ht="13.7" customHeight="1" x14ac:dyDescent="0.25"/>
    <row r="125" ht="13.7" customHeight="1" x14ac:dyDescent="0.25"/>
    <row r="126" ht="13.7" customHeight="1" x14ac:dyDescent="0.25"/>
    <row r="127" ht="13.7" customHeight="1" x14ac:dyDescent="0.25"/>
    <row r="128" ht="13.7" customHeight="1" x14ac:dyDescent="0.25"/>
    <row r="129" ht="13.7" customHeight="1" x14ac:dyDescent="0.25"/>
    <row r="130" ht="13.7" customHeight="1" x14ac:dyDescent="0.25"/>
    <row r="131" ht="13.7" customHeight="1" x14ac:dyDescent="0.25"/>
    <row r="132" ht="13.7" customHeight="1" x14ac:dyDescent="0.25"/>
    <row r="133" ht="13.7" customHeight="1" x14ac:dyDescent="0.25"/>
    <row r="134" ht="13.7" customHeight="1" x14ac:dyDescent="0.25"/>
    <row r="135" ht="13.7" customHeight="1" x14ac:dyDescent="0.25"/>
    <row r="136" ht="13.7" customHeight="1" x14ac:dyDescent="0.25"/>
    <row r="137" ht="13.7" customHeight="1" x14ac:dyDescent="0.25"/>
    <row r="138" ht="13.7" customHeight="1" x14ac:dyDescent="0.25"/>
    <row r="139" ht="13.7" customHeight="1" x14ac:dyDescent="0.25"/>
    <row r="140" ht="13.7" customHeight="1" x14ac:dyDescent="0.25"/>
    <row r="141" ht="13.7" customHeight="1" x14ac:dyDescent="0.25"/>
    <row r="142" ht="13.7" customHeight="1" x14ac:dyDescent="0.25"/>
    <row r="143" ht="13.7" customHeight="1" x14ac:dyDescent="0.25"/>
    <row r="144" ht="13.7" customHeight="1" x14ac:dyDescent="0.25"/>
    <row r="145" ht="13.7" customHeight="1" x14ac:dyDescent="0.25"/>
    <row r="146" ht="13.7" customHeight="1" x14ac:dyDescent="0.25"/>
    <row r="147" ht="13.7" customHeight="1" x14ac:dyDescent="0.25"/>
    <row r="148" ht="13.7" customHeight="1" x14ac:dyDescent="0.25"/>
    <row r="149" ht="13.7" customHeight="1" x14ac:dyDescent="0.25"/>
    <row r="150" ht="13.7" customHeight="1" x14ac:dyDescent="0.25"/>
    <row r="151" ht="13.7" customHeight="1" x14ac:dyDescent="0.25"/>
    <row r="152" ht="13.7" customHeight="1" x14ac:dyDescent="0.25"/>
    <row r="153" ht="13.7" customHeight="1" x14ac:dyDescent="0.25"/>
    <row r="154" ht="13.7" customHeight="1" x14ac:dyDescent="0.25"/>
    <row r="155" ht="13.7" customHeight="1" x14ac:dyDescent="0.25"/>
    <row r="156" ht="13.7" customHeight="1" x14ac:dyDescent="0.25"/>
    <row r="157" ht="13.7" customHeight="1" x14ac:dyDescent="0.25"/>
    <row r="158" ht="13.7" customHeight="1" x14ac:dyDescent="0.25"/>
    <row r="159" ht="13.7" customHeight="1" x14ac:dyDescent="0.25"/>
    <row r="160" ht="13.7" customHeight="1" x14ac:dyDescent="0.25"/>
    <row r="161" ht="13.7" customHeight="1" x14ac:dyDescent="0.25"/>
    <row r="162" ht="13.7" customHeight="1" x14ac:dyDescent="0.25"/>
    <row r="163" ht="13.7" customHeight="1" x14ac:dyDescent="0.25"/>
    <row r="164" ht="13.7" customHeight="1" x14ac:dyDescent="0.25"/>
    <row r="165" ht="13.7" customHeight="1" x14ac:dyDescent="0.25"/>
    <row r="166" ht="13.7" customHeight="1" x14ac:dyDescent="0.25"/>
    <row r="167" ht="13.7" customHeight="1" x14ac:dyDescent="0.25"/>
    <row r="168" ht="13.7" customHeight="1" x14ac:dyDescent="0.25"/>
    <row r="169" ht="13.7" customHeight="1" x14ac:dyDescent="0.25"/>
    <row r="170" ht="13.7" customHeight="1" x14ac:dyDescent="0.25"/>
    <row r="171" ht="13.7" customHeight="1" x14ac:dyDescent="0.25"/>
    <row r="172" ht="13.7" customHeight="1" x14ac:dyDescent="0.25"/>
    <row r="173" ht="13.7" customHeight="1" x14ac:dyDescent="0.25"/>
    <row r="174" ht="13.7" customHeight="1" x14ac:dyDescent="0.25"/>
    <row r="175" ht="13.7" customHeight="1" x14ac:dyDescent="0.25"/>
    <row r="176" ht="13.7" customHeight="1" x14ac:dyDescent="0.25"/>
    <row r="177" ht="13.7" customHeight="1" x14ac:dyDescent="0.25"/>
    <row r="178" ht="13.7" customHeight="1" x14ac:dyDescent="0.25"/>
    <row r="179" ht="13.7" customHeight="1" x14ac:dyDescent="0.25"/>
    <row r="180" ht="13.7" customHeight="1" x14ac:dyDescent="0.25"/>
    <row r="181" ht="13.7" customHeight="1" x14ac:dyDescent="0.25"/>
    <row r="182" ht="13.7" customHeight="1" x14ac:dyDescent="0.25"/>
    <row r="183" ht="13.7" customHeight="1" x14ac:dyDescent="0.25"/>
    <row r="184" ht="13.7" customHeight="1" x14ac:dyDescent="0.25"/>
    <row r="185" ht="13.7" customHeight="1" x14ac:dyDescent="0.25"/>
    <row r="186" ht="13.7" customHeight="1" x14ac:dyDescent="0.25"/>
    <row r="187" ht="13.7" customHeight="1" x14ac:dyDescent="0.25"/>
    <row r="188" ht="13.7" customHeight="1" x14ac:dyDescent="0.25"/>
    <row r="189" ht="13.7" customHeight="1" x14ac:dyDescent="0.25"/>
    <row r="190" ht="13.7" customHeight="1" x14ac:dyDescent="0.25"/>
    <row r="191" ht="13.7" customHeight="1" x14ac:dyDescent="0.25"/>
    <row r="192" ht="13.7" customHeight="1" x14ac:dyDescent="0.25"/>
    <row r="193" ht="13.7" customHeight="1" x14ac:dyDescent="0.25"/>
    <row r="194" ht="13.7" customHeight="1" x14ac:dyDescent="0.25"/>
    <row r="195" ht="13.7" customHeight="1" x14ac:dyDescent="0.25"/>
    <row r="196" ht="13.7" customHeight="1" x14ac:dyDescent="0.25"/>
    <row r="197" ht="13.7" customHeight="1" x14ac:dyDescent="0.25"/>
    <row r="198" ht="13.7" customHeight="1" x14ac:dyDescent="0.25"/>
    <row r="199" ht="13.7" customHeight="1" x14ac:dyDescent="0.25"/>
    <row r="200" ht="13.7" customHeight="1" x14ac:dyDescent="0.25"/>
    <row r="201" ht="13.7" customHeight="1" x14ac:dyDescent="0.25"/>
    <row r="202" ht="13.7" customHeight="1" x14ac:dyDescent="0.25"/>
    <row r="203" ht="13.7" customHeight="1" x14ac:dyDescent="0.25"/>
    <row r="204" ht="13.7" customHeight="1" x14ac:dyDescent="0.25"/>
    <row r="205" ht="13.7" customHeight="1" x14ac:dyDescent="0.25"/>
    <row r="206" ht="13.7" customHeight="1" x14ac:dyDescent="0.25"/>
    <row r="207" ht="13.7" customHeight="1" x14ac:dyDescent="0.25"/>
    <row r="208" ht="13.7" customHeight="1" x14ac:dyDescent="0.25"/>
    <row r="209" ht="13.7" customHeight="1" x14ac:dyDescent="0.25"/>
    <row r="210" ht="13.7" customHeight="1" x14ac:dyDescent="0.25"/>
    <row r="211" ht="13.7" customHeight="1" x14ac:dyDescent="0.25"/>
    <row r="212" ht="13.7" customHeight="1" x14ac:dyDescent="0.25"/>
    <row r="213" ht="13.7" customHeight="1" x14ac:dyDescent="0.25"/>
    <row r="214" ht="13.7" customHeight="1" x14ac:dyDescent="0.25"/>
    <row r="215" ht="13.7" customHeight="1" x14ac:dyDescent="0.25"/>
    <row r="216" ht="13.7" customHeight="1" x14ac:dyDescent="0.25"/>
    <row r="217" ht="13.7" customHeight="1" x14ac:dyDescent="0.25"/>
    <row r="218" ht="13.7" customHeight="1" x14ac:dyDescent="0.25"/>
    <row r="219" ht="13.7" customHeight="1" x14ac:dyDescent="0.25"/>
    <row r="220" ht="13.7" customHeight="1" x14ac:dyDescent="0.25"/>
    <row r="221" ht="13.7" customHeight="1" x14ac:dyDescent="0.25"/>
    <row r="222" ht="13.7" customHeight="1" x14ac:dyDescent="0.25"/>
    <row r="223" ht="13.7" customHeight="1" x14ac:dyDescent="0.25"/>
    <row r="224" ht="13.7" customHeight="1" x14ac:dyDescent="0.25"/>
    <row r="225" ht="13.7" customHeight="1" x14ac:dyDescent="0.25"/>
    <row r="226" ht="13.7" customHeight="1" x14ac:dyDescent="0.25"/>
    <row r="227" ht="13.7" customHeight="1" x14ac:dyDescent="0.25"/>
    <row r="228" ht="13.7" customHeight="1" x14ac:dyDescent="0.25"/>
    <row r="229" ht="13.7" customHeight="1" x14ac:dyDescent="0.25"/>
    <row r="230" ht="13.7" customHeight="1" x14ac:dyDescent="0.25"/>
    <row r="231" ht="13.7" customHeight="1" x14ac:dyDescent="0.25"/>
    <row r="232" ht="13.7" customHeight="1" x14ac:dyDescent="0.25"/>
    <row r="233" ht="13.7" customHeight="1" x14ac:dyDescent="0.25"/>
    <row r="234" ht="13.7" customHeight="1" x14ac:dyDescent="0.25"/>
    <row r="235" ht="13.7" customHeight="1" x14ac:dyDescent="0.25"/>
    <row r="236" ht="13.7" customHeight="1" x14ac:dyDescent="0.25"/>
  </sheetData>
  <customSheetViews>
    <customSheetView guid="{EDC1BD6E-863A-4FC6-A3A9-F32079F4F0C1}">
      <selection activeCell="G28" sqref="G28"/>
      <pageMargins left="0" right="0" top="0" bottom="0" header="0" footer="0"/>
      <pageSetup paperSize="9" orientation="portrait" verticalDpi="0" r:id="rId1"/>
    </customSheetView>
  </customSheetViews>
  <mergeCells count="11">
    <mergeCell ref="B15:I15"/>
    <mergeCell ref="B4:I4"/>
    <mergeCell ref="B5:I5"/>
    <mergeCell ref="B6:I6"/>
    <mergeCell ref="B7:I7"/>
    <mergeCell ref="B8:I8"/>
    <mergeCell ref="B9:I9"/>
    <mergeCell ref="B10:I10"/>
    <mergeCell ref="B11:I11"/>
    <mergeCell ref="B12:I12"/>
    <mergeCell ref="B13:I13"/>
  </mergeCells>
  <pageMargins left="0.70866141732283472" right="0.70866141732283472" top="0.74803149606299213" bottom="0.74803149606299213" header="0.31496062992125984" footer="0.31496062992125984"/>
  <pageSetup paperSize="9" fitToHeight="0" orientation="portrait" verticalDpi="0" r:id="rId2"/>
  <headerFooter>
    <oddFooter>&amp;RPage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W66"/>
  <sheetViews>
    <sheetView showGridLines="0" topLeftCell="A3" zoomScale="90" zoomScaleNormal="90" workbookViewId="0">
      <selection activeCell="J14" sqref="J14"/>
    </sheetView>
  </sheetViews>
  <sheetFormatPr defaultColWidth="9.140625" defaultRowHeight="12" x14ac:dyDescent="0.2"/>
  <cols>
    <col min="1" max="1" width="1" style="222" customWidth="1"/>
    <col min="2" max="2" width="57.42578125" style="222" customWidth="1"/>
    <col min="3" max="3" width="7.140625" style="222" customWidth="1"/>
    <col min="4" max="4" width="10.28515625" style="222" customWidth="1"/>
    <col min="5" max="5" width="1.28515625" style="2" customWidth="1"/>
    <col min="6" max="6" width="10.28515625" style="222" customWidth="1"/>
    <col min="7" max="7" width="11" style="3" bestFit="1" customWidth="1"/>
    <col min="8" max="16384" width="9.140625" style="3"/>
  </cols>
  <sheetData>
    <row r="1" spans="1:15" s="222" customFormat="1" ht="12.75" x14ac:dyDescent="0.2">
      <c r="A1" s="350" t="s">
        <v>1310</v>
      </c>
      <c r="B1" s="351"/>
      <c r="C1" s="351"/>
      <c r="D1" s="351"/>
      <c r="E1" s="351"/>
      <c r="F1" s="351"/>
    </row>
    <row r="2" spans="1:15" s="222" customFormat="1" x14ac:dyDescent="0.2">
      <c r="E2" s="2"/>
    </row>
    <row r="3" spans="1:15" ht="15" customHeight="1" x14ac:dyDescent="0.25">
      <c r="B3" s="132" t="s">
        <v>499</v>
      </c>
      <c r="D3" s="7"/>
      <c r="E3" s="32"/>
      <c r="F3" s="7"/>
      <c r="G3" s="263"/>
      <c r="H3" s="152"/>
      <c r="I3" s="152"/>
      <c r="J3" s="152"/>
      <c r="K3" s="152"/>
      <c r="L3" s="152"/>
      <c r="M3" s="152"/>
      <c r="N3" s="152"/>
      <c r="O3" s="152"/>
    </row>
    <row r="4" spans="1:15" ht="13.7" customHeight="1" x14ac:dyDescent="0.2">
      <c r="B4" s="8"/>
      <c r="D4" s="442" t="s">
        <v>500</v>
      </c>
      <c r="E4" s="442"/>
      <c r="F4" s="442"/>
      <c r="G4" s="222"/>
      <c r="H4" s="222"/>
      <c r="I4" s="222"/>
      <c r="J4" s="222"/>
      <c r="K4" s="222"/>
      <c r="L4" s="222"/>
      <c r="M4" s="222"/>
      <c r="N4" s="222"/>
      <c r="O4" s="222"/>
    </row>
    <row r="5" spans="1:15" ht="18" customHeight="1" x14ac:dyDescent="0.2">
      <c r="B5" s="2"/>
      <c r="D5" s="117" t="str">
        <f>CurrentFY</f>
        <v>2021/22</v>
      </c>
      <c r="E5" s="118"/>
      <c r="F5" s="119" t="str">
        <f>ComparativeFY</f>
        <v>2020/21</v>
      </c>
      <c r="G5" s="222"/>
      <c r="H5" s="222"/>
      <c r="I5" s="222"/>
      <c r="J5" s="222"/>
      <c r="K5" s="222"/>
      <c r="L5" s="222"/>
      <c r="M5" s="222"/>
      <c r="N5" s="222"/>
      <c r="O5" s="222"/>
    </row>
    <row r="6" spans="1:15" ht="18" customHeight="1" x14ac:dyDescent="0.2">
      <c r="B6" s="9"/>
      <c r="C6" s="323" t="s">
        <v>501</v>
      </c>
      <c r="D6" s="120" t="s">
        <v>502</v>
      </c>
      <c r="E6" s="121"/>
      <c r="F6" s="120" t="s">
        <v>502</v>
      </c>
      <c r="G6" s="222"/>
      <c r="H6" s="222"/>
      <c r="I6" s="222"/>
      <c r="J6" s="222"/>
      <c r="K6" s="222"/>
      <c r="L6" s="222"/>
      <c r="M6" s="222"/>
      <c r="N6" s="222"/>
      <c r="O6" s="222"/>
    </row>
    <row r="7" spans="1:15" ht="14.1" customHeight="1" x14ac:dyDescent="0.2">
      <c r="B7" s="327" t="s">
        <v>503</v>
      </c>
      <c r="C7" s="154">
        <f>'Op Inc'!A3</f>
        <v>3</v>
      </c>
      <c r="D7" s="219">
        <v>252979</v>
      </c>
      <c r="E7" s="42"/>
      <c r="F7" s="219">
        <v>217903</v>
      </c>
      <c r="G7" s="24"/>
      <c r="H7" s="222"/>
      <c r="I7" s="222"/>
      <c r="J7" s="222"/>
      <c r="K7" s="222"/>
      <c r="L7" s="222"/>
      <c r="M7" s="222"/>
      <c r="N7" s="222"/>
      <c r="O7" s="222"/>
    </row>
    <row r="8" spans="1:15" ht="14.1" customHeight="1" x14ac:dyDescent="0.2">
      <c r="B8" s="327" t="s">
        <v>504</v>
      </c>
      <c r="C8" s="154">
        <f>'Op Inc 2'!A11</f>
        <v>4</v>
      </c>
      <c r="D8" s="219">
        <v>30800</v>
      </c>
      <c r="E8" s="42"/>
      <c r="F8" s="219">
        <v>26065</v>
      </c>
      <c r="G8" s="24"/>
      <c r="H8" s="222"/>
      <c r="I8" s="222"/>
      <c r="J8" s="222"/>
      <c r="K8" s="222"/>
      <c r="L8" s="222"/>
      <c r="M8" s="222"/>
      <c r="N8" s="222"/>
      <c r="O8" s="222"/>
    </row>
    <row r="9" spans="1:15" ht="14.1" customHeight="1" x14ac:dyDescent="0.2">
      <c r="B9" s="327" t="s">
        <v>505</v>
      </c>
      <c r="C9" s="154" t="str">
        <f>ROUNDDOWN('Op Exp'!A3,0)&amp;", "&amp;ROUNDDOWN(Staff!A3,0)</f>
        <v>6, 8</v>
      </c>
      <c r="D9" s="219">
        <v>-263146.56579294044</v>
      </c>
      <c r="E9" s="42"/>
      <c r="F9" s="219">
        <v>-237679</v>
      </c>
      <c r="G9" s="222"/>
      <c r="H9" s="222"/>
      <c r="I9" s="222"/>
      <c r="J9" s="222"/>
      <c r="K9" s="222"/>
      <c r="L9" s="222"/>
      <c r="M9" s="222"/>
      <c r="N9" s="222"/>
      <c r="O9" s="222"/>
    </row>
    <row r="10" spans="1:15" ht="14.1" customHeight="1" x14ac:dyDescent="0.2">
      <c r="B10" s="289" t="s">
        <v>1344</v>
      </c>
      <c r="C10" s="154"/>
      <c r="D10" s="207">
        <f>SUM(D7:D9)</f>
        <v>20632.434207059559</v>
      </c>
      <c r="E10" s="43"/>
      <c r="F10" s="207">
        <f>SUM(F7:F9)</f>
        <v>6289</v>
      </c>
      <c r="G10" s="222"/>
      <c r="H10" s="222"/>
      <c r="I10" s="222"/>
      <c r="J10" s="222"/>
      <c r="K10" s="222"/>
      <c r="L10" s="222"/>
      <c r="M10" s="222"/>
      <c r="N10" s="222"/>
      <c r="O10" s="222"/>
    </row>
    <row r="11" spans="1:15" ht="12.2" customHeight="1" x14ac:dyDescent="0.2">
      <c r="B11" s="289"/>
      <c r="C11" s="154"/>
      <c r="D11" s="43"/>
      <c r="E11" s="43"/>
      <c r="F11" s="43"/>
      <c r="G11" s="222"/>
      <c r="H11" s="222"/>
      <c r="I11" s="222"/>
      <c r="J11" s="222"/>
      <c r="K11" s="222"/>
      <c r="L11" s="222"/>
      <c r="M11" s="222"/>
      <c r="N11" s="222"/>
      <c r="O11" s="222"/>
    </row>
    <row r="12" spans="1:15" ht="14.1" customHeight="1" x14ac:dyDescent="0.2">
      <c r="B12" s="327" t="s">
        <v>506</v>
      </c>
      <c r="C12" s="154">
        <f>'Finance &amp; other'!A3</f>
        <v>11</v>
      </c>
      <c r="D12" s="219">
        <v>35</v>
      </c>
      <c r="E12" s="42"/>
      <c r="F12" s="219">
        <v>0</v>
      </c>
      <c r="G12" s="222"/>
      <c r="H12" s="222"/>
      <c r="I12" s="222"/>
      <c r="J12" s="222"/>
      <c r="K12" s="222"/>
      <c r="L12" s="222"/>
      <c r="M12" s="222"/>
      <c r="N12" s="222"/>
      <c r="O12" s="222"/>
    </row>
    <row r="13" spans="1:15" ht="14.1" customHeight="1" x14ac:dyDescent="0.2">
      <c r="B13" s="327" t="s">
        <v>507</v>
      </c>
      <c r="C13" s="154">
        <f>ROUNDDOWN('Finance &amp; other'!A14,0)</f>
        <v>12</v>
      </c>
      <c r="D13" s="219">
        <v>-970</v>
      </c>
      <c r="E13" s="42"/>
      <c r="F13" s="219">
        <v>-1023</v>
      </c>
      <c r="G13" s="222"/>
      <c r="H13" s="222"/>
      <c r="I13" s="222"/>
      <c r="J13" s="222"/>
      <c r="K13" s="222"/>
      <c r="L13" s="222"/>
      <c r="M13" s="222"/>
      <c r="N13" s="222"/>
      <c r="O13" s="222"/>
    </row>
    <row r="14" spans="1:15" ht="14.1" customHeight="1" x14ac:dyDescent="0.2">
      <c r="B14" s="327" t="s">
        <v>508</v>
      </c>
      <c r="C14" s="154"/>
      <c r="D14" s="219">
        <v>-614</v>
      </c>
      <c r="E14" s="42"/>
      <c r="F14" s="219">
        <v>0</v>
      </c>
      <c r="G14" s="222"/>
      <c r="H14" s="222"/>
      <c r="I14" s="222"/>
      <c r="J14" s="222"/>
      <c r="K14" s="222"/>
      <c r="L14" s="222"/>
      <c r="M14" s="222"/>
      <c r="N14" s="222"/>
      <c r="O14" s="222"/>
    </row>
    <row r="15" spans="1:15" ht="14.1" customHeight="1" x14ac:dyDescent="0.2">
      <c r="B15" s="289" t="s">
        <v>509</v>
      </c>
      <c r="C15" s="154"/>
      <c r="D15" s="207">
        <f>SUM(D12:D14)</f>
        <v>-1549</v>
      </c>
      <c r="E15" s="43"/>
      <c r="F15" s="207">
        <f>SUM(F12:F14)</f>
        <v>-1023</v>
      </c>
      <c r="G15" s="222"/>
      <c r="H15" s="222"/>
      <c r="I15" s="222"/>
      <c r="J15" s="222"/>
      <c r="K15" s="222"/>
      <c r="L15" s="222"/>
      <c r="M15" s="222"/>
      <c r="N15" s="222"/>
      <c r="O15" s="222"/>
    </row>
    <row r="16" spans="1:15" ht="13.7" customHeight="1" x14ac:dyDescent="0.2">
      <c r="B16" s="327" t="s">
        <v>1341</v>
      </c>
      <c r="C16" s="154">
        <f>'Finance &amp; other'!A38</f>
        <v>13</v>
      </c>
      <c r="D16" s="219">
        <v>74</v>
      </c>
      <c r="E16" s="42"/>
      <c r="F16" s="219">
        <v>0</v>
      </c>
      <c r="G16" s="222"/>
      <c r="H16" s="222"/>
      <c r="I16" s="222"/>
      <c r="J16" s="222"/>
      <c r="K16" s="222"/>
      <c r="L16" s="222"/>
      <c r="M16" s="222"/>
      <c r="N16" s="222"/>
      <c r="O16" s="222"/>
    </row>
    <row r="17" spans="2:15" ht="13.7" customHeight="1" x14ac:dyDescent="0.2">
      <c r="B17" s="327" t="s">
        <v>1342</v>
      </c>
      <c r="C17" s="154">
        <f>ROUNDDOWN('Inv in assoc &amp; JVs, other inv'!A3,0)</f>
        <v>20</v>
      </c>
      <c r="D17" s="219">
        <v>203</v>
      </c>
      <c r="E17" s="42"/>
      <c r="F17" s="219">
        <v>108</v>
      </c>
      <c r="G17" s="222"/>
      <c r="H17" s="222"/>
      <c r="I17" s="222"/>
      <c r="J17" s="222"/>
      <c r="K17" s="222"/>
      <c r="L17" s="222"/>
      <c r="M17" s="222"/>
      <c r="N17" s="222"/>
      <c r="O17" s="222"/>
    </row>
    <row r="18" spans="2:15" ht="13.7" hidden="1" customHeight="1" x14ac:dyDescent="0.2">
      <c r="B18" s="327" t="s">
        <v>511</v>
      </c>
      <c r="C18" s="154" t="e">
        <f>'RP, transfers, EARP'!#REF!</f>
        <v>#REF!</v>
      </c>
      <c r="D18" s="219">
        <v>0</v>
      </c>
      <c r="E18" s="42"/>
      <c r="F18" s="219">
        <v>0</v>
      </c>
      <c r="G18" s="222"/>
      <c r="H18" s="222"/>
      <c r="I18" s="222"/>
      <c r="J18" s="222"/>
      <c r="K18" s="222"/>
      <c r="L18" s="222"/>
      <c r="M18" s="222"/>
      <c r="N18" s="222"/>
      <c r="O18" s="222"/>
    </row>
    <row r="19" spans="2:15" ht="14.1" hidden="1" customHeight="1" x14ac:dyDescent="0.2">
      <c r="B19" s="327" t="s">
        <v>512</v>
      </c>
      <c r="C19" s="154"/>
      <c r="D19" s="219">
        <v>0</v>
      </c>
      <c r="E19" s="42"/>
      <c r="F19" s="219">
        <v>0</v>
      </c>
    </row>
    <row r="20" spans="2:15" ht="14.1" customHeight="1" x14ac:dyDescent="0.2">
      <c r="B20" s="289" t="s">
        <v>1343</v>
      </c>
      <c r="C20" s="154"/>
      <c r="D20" s="207">
        <f>SUM(D15:D19)+D10</f>
        <v>19360.434207059559</v>
      </c>
      <c r="E20" s="43"/>
      <c r="F20" s="207">
        <f>SUM(F15:F19)+F10</f>
        <v>5374</v>
      </c>
    </row>
    <row r="21" spans="2:15" ht="27.75" hidden="1" customHeight="1" x14ac:dyDescent="0.2">
      <c r="B21" s="327" t="s">
        <v>513</v>
      </c>
      <c r="C21" s="154" t="e">
        <f>ROUNDDOWN(#REF!,0)</f>
        <v>#REF!</v>
      </c>
      <c r="D21" s="219">
        <v>0</v>
      </c>
      <c r="E21" s="43"/>
      <c r="F21" s="219">
        <v>0</v>
      </c>
    </row>
    <row r="22" spans="2:15" ht="15" hidden="1" customHeight="1" thickBot="1" x14ac:dyDescent="0.25">
      <c r="B22" s="289" t="s">
        <v>514</v>
      </c>
      <c r="C22" s="154"/>
      <c r="D22" s="206">
        <f>SUM(D20:D21)</f>
        <v>19360.434207059559</v>
      </c>
      <c r="E22" s="43"/>
      <c r="F22" s="206">
        <f>SUM(F20:F21)</f>
        <v>5374</v>
      </c>
    </row>
    <row r="23" spans="2:15" ht="14.1" customHeight="1" x14ac:dyDescent="0.2">
      <c r="B23" s="14"/>
      <c r="C23" s="154"/>
      <c r="D23" s="43"/>
      <c r="E23" s="43"/>
      <c r="F23" s="43"/>
    </row>
    <row r="24" spans="2:15" ht="13.7" customHeight="1" x14ac:dyDescent="0.2">
      <c r="B24" s="289" t="s">
        <v>515</v>
      </c>
      <c r="C24" s="154"/>
      <c r="D24" s="41"/>
      <c r="E24" s="42"/>
      <c r="F24" s="41"/>
    </row>
    <row r="25" spans="2:15" ht="18.75" customHeight="1" x14ac:dyDescent="0.2">
      <c r="B25" s="289" t="s">
        <v>516</v>
      </c>
      <c r="C25" s="154"/>
      <c r="D25" s="41"/>
      <c r="E25" s="42"/>
      <c r="F25" s="41"/>
    </row>
    <row r="26" spans="2:15" ht="14.1" customHeight="1" x14ac:dyDescent="0.2">
      <c r="B26" s="327" t="s">
        <v>517</v>
      </c>
      <c r="C26" s="154">
        <f>'Audit &amp; Impair'!A22</f>
        <v>7</v>
      </c>
      <c r="D26" s="219">
        <v>-29</v>
      </c>
      <c r="E26" s="42"/>
      <c r="F26" s="219">
        <v>-2232</v>
      </c>
    </row>
    <row r="27" spans="2:15" ht="14.1" customHeight="1" x14ac:dyDescent="0.2">
      <c r="B27" s="327" t="s">
        <v>518</v>
      </c>
      <c r="C27" s="154">
        <f>'PPE &amp; Inv Prop'!A7</f>
        <v>19</v>
      </c>
      <c r="D27" s="219">
        <v>3236</v>
      </c>
      <c r="E27" s="42"/>
      <c r="F27" s="219">
        <v>1712</v>
      </c>
    </row>
    <row r="28" spans="2:15" ht="13.7" hidden="1" customHeight="1" x14ac:dyDescent="0.2">
      <c r="B28" s="327" t="s">
        <v>519</v>
      </c>
      <c r="C28" s="154">
        <f>ROUNDDOWN('Inv in assoc &amp; JVs, other inv'!A3,0)</f>
        <v>20</v>
      </c>
      <c r="D28" s="219">
        <v>0</v>
      </c>
      <c r="E28" s="42"/>
      <c r="F28" s="219">
        <v>0</v>
      </c>
    </row>
    <row r="29" spans="2:15" s="222" customFormat="1" ht="24.6" hidden="1" customHeight="1" x14ac:dyDescent="0.2">
      <c r="B29" s="327" t="s">
        <v>520</v>
      </c>
      <c r="C29" s="154">
        <f>'Inv in assoc &amp; JVs, other inv'!A23</f>
        <v>21</v>
      </c>
      <c r="D29" s="219">
        <v>0</v>
      </c>
      <c r="E29" s="42"/>
      <c r="F29" s="219">
        <v>0</v>
      </c>
    </row>
    <row r="30" spans="2:15" ht="13.7" hidden="1" customHeight="1" x14ac:dyDescent="0.2">
      <c r="B30" s="327" t="s">
        <v>521</v>
      </c>
      <c r="C30" s="154"/>
      <c r="D30" s="219">
        <v>0</v>
      </c>
      <c r="E30" s="42"/>
      <c r="F30" s="219">
        <v>0</v>
      </c>
    </row>
    <row r="31" spans="2:15" ht="13.7" hidden="1" customHeight="1" x14ac:dyDescent="0.2">
      <c r="B31" s="327" t="s">
        <v>522</v>
      </c>
      <c r="C31" s="154" t="e">
        <f>ROUNDDOWN(#REF!,0)</f>
        <v>#REF!</v>
      </c>
      <c r="D31" s="219">
        <v>0</v>
      </c>
      <c r="E31" s="42"/>
      <c r="F31" s="219">
        <v>0</v>
      </c>
    </row>
    <row r="32" spans="2:15" s="222" customFormat="1" ht="13.7" hidden="1" customHeight="1" x14ac:dyDescent="0.2">
      <c r="B32" s="130" t="s">
        <v>523</v>
      </c>
      <c r="C32" s="154" t="e">
        <f>'RP, transfers, EARP'!#REF!</f>
        <v>#REF!</v>
      </c>
      <c r="D32" s="219">
        <v>0</v>
      </c>
      <c r="E32" s="42"/>
      <c r="F32" s="219">
        <v>0</v>
      </c>
    </row>
    <row r="33" spans="2:6" ht="14.1" hidden="1" customHeight="1" x14ac:dyDescent="0.2">
      <c r="B33" s="327" t="s">
        <v>524</v>
      </c>
      <c r="C33" s="154"/>
      <c r="D33" s="219">
        <v>0</v>
      </c>
      <c r="E33" s="42"/>
      <c r="F33" s="219">
        <v>0</v>
      </c>
    </row>
    <row r="34" spans="2:6" ht="21.75" customHeight="1" x14ac:dyDescent="0.2">
      <c r="B34" s="289" t="s">
        <v>525</v>
      </c>
      <c r="C34" s="154"/>
      <c r="D34" s="219"/>
      <c r="E34" s="42"/>
      <c r="F34" s="219"/>
    </row>
    <row r="35" spans="2:6" ht="24.6" hidden="1" customHeight="1" x14ac:dyDescent="0.2">
      <c r="B35" s="327" t="s">
        <v>526</v>
      </c>
      <c r="C35" s="154">
        <f>'Inv in assoc &amp; JVs, other inv'!A23</f>
        <v>21</v>
      </c>
      <c r="D35" s="219">
        <v>0</v>
      </c>
      <c r="E35" s="42"/>
      <c r="F35" s="219">
        <v>0</v>
      </c>
    </row>
    <row r="36" spans="2:6" ht="25.15" hidden="1" customHeight="1" x14ac:dyDescent="0.2">
      <c r="B36" s="327" t="s">
        <v>527</v>
      </c>
      <c r="C36" s="154">
        <f>'Finance &amp; other'!A38</f>
        <v>13</v>
      </c>
      <c r="D36" s="219">
        <v>0</v>
      </c>
      <c r="E36" s="42"/>
      <c r="F36" s="219">
        <v>0</v>
      </c>
    </row>
    <row r="37" spans="2:6" ht="14.1" customHeight="1" x14ac:dyDescent="0.2">
      <c r="B37" s="327" t="s">
        <v>528</v>
      </c>
      <c r="C37" s="154"/>
      <c r="D37" s="219">
        <v>176</v>
      </c>
      <c r="E37" s="42"/>
      <c r="F37" s="219">
        <v>-477</v>
      </c>
    </row>
    <row r="38" spans="2:6" ht="15.75" customHeight="1" thickBot="1" x14ac:dyDescent="0.25">
      <c r="B38" s="289" t="s">
        <v>1345</v>
      </c>
      <c r="C38" s="99"/>
      <c r="D38" s="206">
        <f>SUM(D22:D37)</f>
        <v>22743.434207059559</v>
      </c>
      <c r="E38" s="43"/>
      <c r="F38" s="206">
        <f>SUM(F22:F37)</f>
        <v>4377</v>
      </c>
    </row>
    <row r="39" spans="2:6" ht="13.7" customHeight="1" thickTop="1" x14ac:dyDescent="0.2">
      <c r="B39" s="11"/>
      <c r="C39" s="52"/>
    </row>
    <row r="40" spans="2:6" ht="13.7" hidden="1" customHeight="1" x14ac:dyDescent="0.2">
      <c r="B40" s="167" t="s">
        <v>529</v>
      </c>
    </row>
    <row r="41" spans="2:6" ht="13.7" hidden="1" customHeight="1" x14ac:dyDescent="0.2">
      <c r="B41" s="327" t="s">
        <v>530</v>
      </c>
      <c r="D41" s="219">
        <v>0</v>
      </c>
      <c r="F41" s="219">
        <v>0</v>
      </c>
    </row>
    <row r="42" spans="2:6" ht="13.7" hidden="1" customHeight="1" x14ac:dyDescent="0.2">
      <c r="B42" s="168" t="str">
        <f>SelectedFT</f>
        <v>Moorfields Eye Hospital NHS Foundation Trust</v>
      </c>
      <c r="D42" s="219">
        <v>19360.434207059559</v>
      </c>
      <c r="F42" s="219">
        <v>5374</v>
      </c>
    </row>
    <row r="43" spans="2:6" ht="13.7" hidden="1" customHeight="1" thickBot="1" x14ac:dyDescent="0.25">
      <c r="B43" s="6" t="s">
        <v>531</v>
      </c>
      <c r="D43" s="206">
        <f>SUM(D41:D42)</f>
        <v>19360.434207059559</v>
      </c>
      <c r="F43" s="206">
        <f>SUM(F41:F42)</f>
        <v>5374</v>
      </c>
    </row>
    <row r="44" spans="2:6" ht="13.7" hidden="1" customHeight="1" thickTop="1" x14ac:dyDescent="0.2"/>
    <row r="45" spans="2:6" ht="13.7" hidden="1" customHeight="1" x14ac:dyDescent="0.2">
      <c r="B45" s="6" t="s">
        <v>532</v>
      </c>
      <c r="E45" s="222"/>
    </row>
    <row r="46" spans="2:6" ht="13.7" hidden="1" customHeight="1" x14ac:dyDescent="0.2">
      <c r="B46" s="168" t="s">
        <v>530</v>
      </c>
      <c r="D46" s="219">
        <v>0</v>
      </c>
      <c r="E46" s="219"/>
      <c r="F46" s="219">
        <v>0</v>
      </c>
    </row>
    <row r="47" spans="2:6" ht="13.7" hidden="1" customHeight="1" x14ac:dyDescent="0.2">
      <c r="B47" s="168" t="str">
        <f>SelectedFT</f>
        <v>Moorfields Eye Hospital NHS Foundation Trust</v>
      </c>
      <c r="D47" s="219">
        <v>22743.434207059559</v>
      </c>
      <c r="E47" s="219"/>
      <c r="F47" s="219">
        <v>4377</v>
      </c>
    </row>
    <row r="48" spans="2:6" ht="13.7" hidden="1" customHeight="1" thickBot="1" x14ac:dyDescent="0.25">
      <c r="B48" s="6" t="s">
        <v>531</v>
      </c>
      <c r="D48" s="206">
        <f>SUM(D46:D47)</f>
        <v>22743.434207059559</v>
      </c>
      <c r="F48" s="206">
        <f>SUM(F46:F47)</f>
        <v>4377</v>
      </c>
    </row>
    <row r="49" spans="1:23" ht="13.7" hidden="1" customHeight="1" thickTop="1" x14ac:dyDescent="0.2"/>
    <row r="50" spans="1:23" s="222" customFormat="1" ht="13.7" hidden="1" customHeight="1" thickBot="1" x14ac:dyDescent="0.25">
      <c r="E50" s="2"/>
    </row>
    <row r="51" spans="1:23" ht="18.75" hidden="1" thickBot="1" x14ac:dyDescent="0.3">
      <c r="B51" s="267" t="s">
        <v>533</v>
      </c>
      <c r="G51" s="262" t="s">
        <v>534</v>
      </c>
      <c r="H51" s="261"/>
      <c r="I51" s="261"/>
      <c r="J51" s="261"/>
      <c r="K51" s="261"/>
      <c r="L51" s="261"/>
      <c r="M51" s="261"/>
      <c r="N51" s="261"/>
      <c r="O51" s="261"/>
      <c r="P51" s="261"/>
      <c r="Q51" s="261"/>
      <c r="R51" s="261"/>
      <c r="S51" s="261"/>
      <c r="T51" s="261"/>
      <c r="U51" s="261"/>
      <c r="V51" s="261"/>
      <c r="W51" s="260"/>
    </row>
    <row r="52" spans="1:23" ht="13.7" hidden="1" customHeight="1" thickBot="1" x14ac:dyDescent="0.25">
      <c r="A52" s="266"/>
      <c r="B52" s="316" t="s">
        <v>535</v>
      </c>
      <c r="G52" s="222"/>
      <c r="H52" s="222"/>
      <c r="I52" s="222"/>
      <c r="J52" s="222"/>
      <c r="K52" s="222"/>
      <c r="L52" s="222"/>
      <c r="M52" s="222"/>
      <c r="N52" s="222"/>
      <c r="O52" s="222"/>
      <c r="P52" s="222"/>
      <c r="Q52" s="222"/>
      <c r="R52" s="222"/>
      <c r="S52" s="222"/>
      <c r="T52" s="222"/>
      <c r="U52" s="222"/>
      <c r="V52" s="222"/>
      <c r="W52" s="222"/>
    </row>
    <row r="53" spans="1:23" ht="13.7" hidden="1" customHeight="1" thickBot="1" x14ac:dyDescent="0.25">
      <c r="A53" s="266"/>
      <c r="B53" s="327" t="s">
        <v>536</v>
      </c>
      <c r="D53" s="219">
        <f>D22</f>
        <v>19360.434207059559</v>
      </c>
      <c r="E53" s="219"/>
      <c r="F53" s="209">
        <v>5374</v>
      </c>
      <c r="G53" s="262" t="s">
        <v>537</v>
      </c>
      <c r="H53" s="261"/>
      <c r="I53" s="261"/>
      <c r="J53" s="261"/>
      <c r="K53" s="261"/>
      <c r="L53" s="261"/>
      <c r="M53" s="261"/>
      <c r="N53" s="261"/>
      <c r="O53" s="261"/>
      <c r="P53" s="261"/>
      <c r="Q53" s="261"/>
      <c r="R53" s="261"/>
      <c r="S53" s="261"/>
      <c r="T53" s="261"/>
      <c r="U53" s="261"/>
      <c r="V53" s="261"/>
      <c r="W53" s="260"/>
    </row>
    <row r="54" spans="1:23" ht="13.7" hidden="1" customHeight="1" x14ac:dyDescent="0.2">
      <c r="A54" s="266"/>
      <c r="B54" s="327" t="s">
        <v>538</v>
      </c>
      <c r="D54" s="219">
        <v>0</v>
      </c>
      <c r="E54" s="219"/>
      <c r="F54" s="219">
        <v>0</v>
      </c>
      <c r="G54" s="222"/>
      <c r="H54" s="222"/>
      <c r="I54" s="222"/>
      <c r="J54" s="222"/>
      <c r="K54" s="222"/>
      <c r="L54" s="222"/>
      <c r="M54" s="222"/>
      <c r="N54" s="222"/>
      <c r="O54" s="222"/>
      <c r="P54" s="222"/>
      <c r="Q54" s="222"/>
      <c r="R54" s="222"/>
      <c r="S54" s="222"/>
      <c r="T54" s="222"/>
      <c r="U54" s="222"/>
      <c r="V54" s="222"/>
      <c r="W54" s="222"/>
    </row>
    <row r="55" spans="1:23" ht="13.7" hidden="1" customHeight="1" x14ac:dyDescent="0.2">
      <c r="A55" s="266"/>
      <c r="B55" s="183" t="s">
        <v>539</v>
      </c>
      <c r="D55" s="219">
        <v>0</v>
      </c>
      <c r="E55" s="219"/>
      <c r="F55" s="219">
        <v>381</v>
      </c>
      <c r="G55" s="222"/>
      <c r="H55" s="222"/>
      <c r="I55" s="222"/>
      <c r="J55" s="222"/>
      <c r="K55" s="222"/>
      <c r="L55" s="222"/>
      <c r="M55" s="222"/>
      <c r="N55" s="222"/>
      <c r="O55" s="222"/>
      <c r="P55" s="222"/>
      <c r="Q55" s="222"/>
      <c r="R55" s="222"/>
      <c r="S55" s="222"/>
      <c r="T55" s="222"/>
      <c r="U55" s="222"/>
      <c r="V55" s="222"/>
      <c r="W55" s="222"/>
    </row>
    <row r="56" spans="1:23" ht="13.7" hidden="1" customHeight="1" x14ac:dyDescent="0.2">
      <c r="A56" s="266"/>
      <c r="B56" s="327" t="s">
        <v>540</v>
      </c>
      <c r="D56" s="219">
        <v>0</v>
      </c>
      <c r="E56" s="219"/>
      <c r="F56" s="219">
        <v>0</v>
      </c>
      <c r="G56" s="222"/>
      <c r="H56" s="222"/>
      <c r="I56" s="222"/>
      <c r="J56" s="222"/>
      <c r="K56" s="222"/>
      <c r="L56" s="222"/>
      <c r="M56" s="222"/>
      <c r="N56" s="222"/>
      <c r="O56" s="222"/>
      <c r="P56" s="222"/>
      <c r="Q56" s="222"/>
      <c r="R56" s="222"/>
      <c r="S56" s="222"/>
      <c r="T56" s="222"/>
      <c r="U56" s="222"/>
      <c r="V56" s="222"/>
      <c r="W56" s="222"/>
    </row>
    <row r="57" spans="1:23" ht="13.7" hidden="1" customHeight="1" x14ac:dyDescent="0.2">
      <c r="A57" s="266"/>
      <c r="B57" s="327" t="s">
        <v>541</v>
      </c>
      <c r="D57" s="219">
        <v>392</v>
      </c>
      <c r="E57" s="219"/>
      <c r="F57" s="219">
        <v>527</v>
      </c>
      <c r="G57" s="222"/>
      <c r="H57" s="222"/>
      <c r="I57" s="222"/>
      <c r="J57" s="222"/>
      <c r="K57" s="222"/>
      <c r="L57" s="222"/>
      <c r="M57" s="222"/>
      <c r="N57" s="222"/>
      <c r="O57" s="222"/>
      <c r="P57" s="222"/>
      <c r="Q57" s="222"/>
      <c r="R57" s="222"/>
      <c r="S57" s="222"/>
      <c r="T57" s="222"/>
      <c r="U57" s="222"/>
      <c r="V57" s="222"/>
      <c r="W57" s="222"/>
    </row>
    <row r="58" spans="1:23" ht="13.7" hidden="1" customHeight="1" x14ac:dyDescent="0.2">
      <c r="A58" s="266"/>
      <c r="B58" s="327" t="s">
        <v>542</v>
      </c>
      <c r="D58" s="219">
        <v>0</v>
      </c>
      <c r="E58" s="219"/>
      <c r="F58" s="219">
        <v>0</v>
      </c>
      <c r="G58" s="222"/>
      <c r="H58" s="222"/>
      <c r="I58" s="222"/>
      <c r="J58" s="222"/>
      <c r="K58" s="222"/>
      <c r="L58" s="222"/>
      <c r="M58" s="222"/>
      <c r="N58" s="222"/>
      <c r="O58" s="222"/>
      <c r="P58" s="222"/>
      <c r="Q58" s="222"/>
      <c r="R58" s="222"/>
      <c r="S58" s="222"/>
      <c r="T58" s="222"/>
      <c r="U58" s="222"/>
      <c r="V58" s="222"/>
      <c r="W58" s="222"/>
    </row>
    <row r="59" spans="1:23" ht="13.7" hidden="1" customHeight="1" x14ac:dyDescent="0.2">
      <c r="A59" s="266"/>
      <c r="B59" s="327" t="s">
        <v>543</v>
      </c>
      <c r="D59" s="219">
        <v>0</v>
      </c>
      <c r="E59" s="219"/>
      <c r="F59" s="219">
        <v>0</v>
      </c>
      <c r="G59" s="222"/>
      <c r="H59" s="222"/>
      <c r="I59" s="222"/>
      <c r="J59" s="222"/>
      <c r="K59" s="222"/>
      <c r="L59" s="222"/>
      <c r="M59" s="222"/>
      <c r="N59" s="222"/>
      <c r="O59" s="222"/>
      <c r="P59" s="222"/>
      <c r="Q59" s="222"/>
      <c r="R59" s="222"/>
      <c r="S59" s="222"/>
      <c r="T59" s="222"/>
      <c r="U59" s="222"/>
      <c r="V59" s="222"/>
      <c r="W59" s="222"/>
    </row>
    <row r="60" spans="1:23" s="222" customFormat="1" ht="25.15" hidden="1" customHeight="1" x14ac:dyDescent="0.2">
      <c r="A60" s="266"/>
      <c r="B60" s="130" t="s">
        <v>544</v>
      </c>
      <c r="D60" s="219">
        <v>95</v>
      </c>
      <c r="E60" s="219"/>
      <c r="F60" s="219">
        <v>-119</v>
      </c>
    </row>
    <row r="61" spans="1:23" s="222" customFormat="1" ht="13.7" hidden="1" customHeight="1" x14ac:dyDescent="0.2">
      <c r="A61" s="266"/>
      <c r="B61" s="130" t="s">
        <v>545</v>
      </c>
      <c r="D61" s="219">
        <v>0</v>
      </c>
      <c r="E61" s="219"/>
      <c r="F61" s="219"/>
    </row>
    <row r="62" spans="1:23" ht="13.7" hidden="1" customHeight="1" thickBot="1" x14ac:dyDescent="0.25">
      <c r="A62" s="266"/>
      <c r="B62" s="316" t="s">
        <v>546</v>
      </c>
      <c r="D62" s="206">
        <f>SUM(D53:D61)</f>
        <v>19847.434207059559</v>
      </c>
      <c r="F62" s="206">
        <f>SUM(F53:F61)</f>
        <v>6163</v>
      </c>
      <c r="G62" s="222"/>
      <c r="H62" s="222"/>
      <c r="I62" s="222"/>
      <c r="J62" s="222"/>
      <c r="K62" s="222"/>
      <c r="L62" s="222"/>
      <c r="M62" s="222"/>
      <c r="N62" s="222"/>
      <c r="O62" s="222"/>
      <c r="P62" s="222"/>
      <c r="Q62" s="222"/>
      <c r="R62" s="222"/>
      <c r="S62" s="222"/>
      <c r="T62" s="222"/>
      <c r="U62" s="222"/>
      <c r="V62" s="222"/>
      <c r="W62" s="222"/>
    </row>
    <row r="63" spans="1:23" ht="13.7" hidden="1" customHeight="1" thickTop="1" x14ac:dyDescent="0.2">
      <c r="G63" s="222"/>
      <c r="H63" s="222"/>
      <c r="I63" s="222"/>
      <c r="J63" s="222"/>
      <c r="K63" s="222"/>
      <c r="L63" s="222"/>
      <c r="M63" s="222"/>
      <c r="N63" s="222"/>
      <c r="O63" s="222"/>
      <c r="P63" s="222"/>
      <c r="Q63" s="222"/>
      <c r="R63" s="222"/>
      <c r="S63" s="222"/>
      <c r="T63" s="222"/>
      <c r="U63" s="222"/>
      <c r="V63" s="222"/>
      <c r="W63" s="222"/>
    </row>
    <row r="64" spans="1:23" ht="13.7" hidden="1" customHeight="1" x14ac:dyDescent="0.2">
      <c r="G64" s="222"/>
      <c r="H64" s="222"/>
      <c r="I64" s="222"/>
      <c r="J64" s="222"/>
      <c r="K64" s="222"/>
      <c r="L64" s="222"/>
      <c r="M64" s="222"/>
      <c r="N64" s="222"/>
      <c r="O64" s="222"/>
      <c r="P64" s="222"/>
      <c r="Q64" s="222"/>
      <c r="R64" s="222"/>
      <c r="S64" s="222"/>
      <c r="T64" s="222"/>
      <c r="U64" s="222"/>
      <c r="V64" s="222"/>
      <c r="W64" s="222"/>
    </row>
    <row r="65" spans="7:23" ht="13.7" hidden="1" customHeight="1" x14ac:dyDescent="0.2">
      <c r="G65" s="222"/>
      <c r="H65" s="222"/>
      <c r="I65" s="222"/>
      <c r="J65" s="222"/>
      <c r="K65" s="222"/>
      <c r="L65" s="222"/>
      <c r="M65" s="222"/>
      <c r="N65" s="222"/>
      <c r="O65" s="222"/>
      <c r="P65" s="222"/>
      <c r="Q65" s="222"/>
      <c r="R65" s="222"/>
      <c r="S65" s="222"/>
      <c r="T65" s="222"/>
      <c r="U65" s="222"/>
      <c r="V65" s="222"/>
      <c r="W65" s="222"/>
    </row>
    <row r="66" spans="7:23" ht="13.7" customHeight="1" x14ac:dyDescent="0.2">
      <c r="G66" s="222"/>
      <c r="H66" s="222"/>
      <c r="I66" s="222"/>
      <c r="J66" s="222"/>
      <c r="K66" s="222"/>
      <c r="L66" s="222"/>
      <c r="M66" s="222"/>
      <c r="N66" s="222"/>
      <c r="O66" s="222"/>
      <c r="P66" s="222"/>
      <c r="Q66" s="222"/>
      <c r="R66" s="222"/>
      <c r="S66" s="222"/>
      <c r="T66" s="222"/>
      <c r="U66" s="222"/>
      <c r="V66" s="222"/>
      <c r="W66" s="222"/>
    </row>
  </sheetData>
  <customSheetViews>
    <customSheetView guid="{EDC1BD6E-863A-4FC6-A3A9-F32079F4F0C1}">
      <selection activeCell="B33" sqref="B33"/>
      <pageMargins left="0" right="0" top="0" bottom="0" header="0" footer="0"/>
      <pageSetup paperSize="9" orientation="portrait" r:id="rId1"/>
      <headerFooter>
        <oddHeader>&amp;LINSERT YOUR NHS Foundation Trust&amp;RStatement of accounts 2014/15</oddHeader>
      </headerFooter>
    </customSheetView>
  </customSheetViews>
  <mergeCells count="1">
    <mergeCell ref="D4:F4"/>
  </mergeCells>
  <pageMargins left="0.70866141732283472" right="0.70866141732283472" top="0.74803149606299213" bottom="0.74803149606299213" header="0.31496062992125984" footer="0.31496062992125984"/>
  <pageSetup paperSize="9" scale="99" fitToHeight="0" orientation="portrait" r:id="rId2"/>
  <headerFooter>
    <oddFooter>&amp;RPage &amp;P of &amp;N</oddFooter>
  </headerFooter>
  <ignoredErrors>
    <ignoredError sqref="D6:F6"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A9665-FA61-47A0-B16B-02CE2B24241B}">
  <sheetPr>
    <pageSetUpPr fitToPage="1"/>
  </sheetPr>
  <dimension ref="A1:G261"/>
  <sheetViews>
    <sheetView showGridLines="0" zoomScaleNormal="100" workbookViewId="0"/>
  </sheetViews>
  <sheetFormatPr defaultColWidth="9.140625" defaultRowHeight="15" x14ac:dyDescent="0.25"/>
  <cols>
    <col min="1" max="1" width="1.85546875" style="177" customWidth="1"/>
    <col min="2" max="2" width="45.42578125" style="317" customWidth="1"/>
    <col min="3" max="3" width="48" style="317" bestFit="1" customWidth="1"/>
    <col min="4" max="4" width="0.85546875" style="317" customWidth="1"/>
    <col min="5" max="16384" width="9.140625" style="317"/>
  </cols>
  <sheetData>
    <row r="1" spans="1:7" x14ac:dyDescent="0.25">
      <c r="A1" s="350" t="s">
        <v>1310</v>
      </c>
      <c r="B1" s="351"/>
      <c r="C1" s="351"/>
      <c r="D1" s="351"/>
    </row>
    <row r="3" spans="1:7" x14ac:dyDescent="0.25">
      <c r="A3" s="177">
        <f>ROUNDDOWN('L&amp;SP, gifts'!A13,0)+1</f>
        <v>31</v>
      </c>
      <c r="B3" s="316" t="str">
        <f>"Note " &amp;A3 &amp; " Related parties (continued)"</f>
        <v>Note 31 Related parties (continued)</v>
      </c>
      <c r="F3" s="389"/>
      <c r="G3" s="389"/>
    </row>
    <row r="4" spans="1:7" s="389" customFormat="1" ht="35.25" customHeight="1" x14ac:dyDescent="0.2">
      <c r="B4" s="481"/>
      <c r="C4" s="481"/>
      <c r="D4" s="481"/>
    </row>
    <row r="5" spans="1:7" s="389" customFormat="1" ht="12" x14ac:dyDescent="0.2">
      <c r="B5" s="397" t="s">
        <v>1369</v>
      </c>
      <c r="C5" s="398" t="s">
        <v>1370</v>
      </c>
      <c r="D5" s="396"/>
    </row>
    <row r="6" spans="1:7" s="389" customFormat="1" ht="20.25" customHeight="1" x14ac:dyDescent="0.2">
      <c r="B6" s="399" t="s">
        <v>788</v>
      </c>
      <c r="C6" s="399" t="s">
        <v>1371</v>
      </c>
      <c r="D6" s="396"/>
    </row>
    <row r="7" spans="1:7" s="389" customFormat="1" ht="20.25" customHeight="1" x14ac:dyDescent="0.2">
      <c r="B7" s="400" t="s">
        <v>790</v>
      </c>
      <c r="C7" s="400" t="s">
        <v>1373</v>
      </c>
      <c r="D7" s="396"/>
    </row>
    <row r="8" spans="1:7" s="389" customFormat="1" ht="20.25" customHeight="1" x14ac:dyDescent="0.2">
      <c r="B8" s="400" t="s">
        <v>1378</v>
      </c>
      <c r="C8" s="400" t="s">
        <v>1379</v>
      </c>
      <c r="D8" s="396"/>
    </row>
    <row r="9" spans="1:7" s="389" customFormat="1" ht="20.25" customHeight="1" x14ac:dyDescent="0.2">
      <c r="B9" s="400" t="s">
        <v>1376</v>
      </c>
      <c r="C9" s="401" t="s">
        <v>1372</v>
      </c>
      <c r="D9" s="396"/>
    </row>
    <row r="10" spans="1:7" s="389" customFormat="1" ht="20.25" customHeight="1" x14ac:dyDescent="0.2">
      <c r="B10" s="400" t="s">
        <v>1377</v>
      </c>
      <c r="C10" s="401" t="s">
        <v>1372</v>
      </c>
      <c r="D10" s="396"/>
    </row>
    <row r="11" spans="1:7" s="389" customFormat="1" ht="20.25" customHeight="1" x14ac:dyDescent="0.2">
      <c r="B11" s="400" t="s">
        <v>1386</v>
      </c>
      <c r="C11" s="401" t="s">
        <v>1372</v>
      </c>
      <c r="D11" s="396"/>
    </row>
    <row r="12" spans="1:7" s="389" customFormat="1" ht="20.25" customHeight="1" x14ac:dyDescent="0.2">
      <c r="B12" s="400" t="s">
        <v>1385</v>
      </c>
      <c r="C12" s="401" t="s">
        <v>1372</v>
      </c>
      <c r="D12" s="396"/>
    </row>
    <row r="13" spans="1:7" s="389" customFormat="1" ht="20.25" customHeight="1" x14ac:dyDescent="0.2">
      <c r="B13" s="400" t="s">
        <v>1387</v>
      </c>
      <c r="C13" s="401" t="s">
        <v>1372</v>
      </c>
      <c r="D13" s="396"/>
    </row>
    <row r="14" spans="1:7" s="389" customFormat="1" ht="20.25" customHeight="1" x14ac:dyDescent="0.2">
      <c r="B14" s="400" t="s">
        <v>1388</v>
      </c>
      <c r="C14" s="401" t="s">
        <v>1372</v>
      </c>
      <c r="D14" s="396"/>
    </row>
    <row r="15" spans="1:7" s="389" customFormat="1" ht="20.25" customHeight="1" x14ac:dyDescent="0.2">
      <c r="B15" s="400" t="s">
        <v>1389</v>
      </c>
      <c r="C15" s="401" t="s">
        <v>1372</v>
      </c>
      <c r="D15" s="396"/>
    </row>
    <row r="16" spans="1:7" s="389" customFormat="1" ht="20.25" customHeight="1" x14ac:dyDescent="0.2">
      <c r="B16" s="400" t="s">
        <v>1390</v>
      </c>
      <c r="C16" s="401" t="s">
        <v>1372</v>
      </c>
      <c r="D16" s="396"/>
    </row>
    <row r="17" spans="1:4" s="389" customFormat="1" ht="20.25" customHeight="1" x14ac:dyDescent="0.2">
      <c r="B17" s="400" t="s">
        <v>1391</v>
      </c>
      <c r="C17" s="401" t="s">
        <v>1372</v>
      </c>
      <c r="D17" s="396"/>
    </row>
    <row r="18" spans="1:4" s="389" customFormat="1" ht="24" x14ac:dyDescent="0.2">
      <c r="B18" s="400" t="s">
        <v>1374</v>
      </c>
      <c r="C18" s="400" t="s">
        <v>1375</v>
      </c>
      <c r="D18" s="396"/>
    </row>
    <row r="19" spans="1:4" s="389" customFormat="1" ht="20.25" customHeight="1" x14ac:dyDescent="0.2">
      <c r="B19" s="400" t="s">
        <v>157</v>
      </c>
      <c r="C19" s="400" t="s">
        <v>1384</v>
      </c>
      <c r="D19" s="396"/>
    </row>
    <row r="20" spans="1:4" s="389" customFormat="1" ht="20.25" customHeight="1" x14ac:dyDescent="0.2">
      <c r="B20" s="400" t="s">
        <v>1380</v>
      </c>
      <c r="C20" s="400" t="s">
        <v>1381</v>
      </c>
      <c r="D20" s="396"/>
    </row>
    <row r="21" spans="1:4" s="389" customFormat="1" ht="20.25" customHeight="1" x14ac:dyDescent="0.2">
      <c r="B21" s="400" t="s">
        <v>1382</v>
      </c>
      <c r="C21" s="400" t="s">
        <v>1383</v>
      </c>
      <c r="D21" s="396"/>
    </row>
    <row r="22" spans="1:4" s="389" customFormat="1" ht="12" x14ac:dyDescent="0.2">
      <c r="B22" s="400"/>
      <c r="C22" s="401"/>
      <c r="D22" s="396"/>
    </row>
    <row r="23" spans="1:4" s="389" customFormat="1" ht="12" x14ac:dyDescent="0.2">
      <c r="A23" s="205">
        <f>ROUNDDOWN(A3,0)+1</f>
        <v>32</v>
      </c>
      <c r="B23" s="402"/>
      <c r="C23" s="402"/>
      <c r="D23" s="171"/>
    </row>
    <row r="24" spans="1:4" s="389" customFormat="1" ht="14.1" customHeight="1" x14ac:dyDescent="0.2">
      <c r="A24" s="205"/>
      <c r="B24" s="473"/>
      <c r="C24" s="473"/>
      <c r="D24" s="473"/>
    </row>
    <row r="25" spans="1:4" s="389" customFormat="1" ht="14.1" customHeight="1" x14ac:dyDescent="0.2">
      <c r="A25" s="205"/>
      <c r="B25" s="388"/>
      <c r="C25" s="388"/>
      <c r="D25" s="388"/>
    </row>
    <row r="26" spans="1:4" s="389" customFormat="1" ht="14.1" customHeight="1" x14ac:dyDescent="0.2">
      <c r="A26" s="205"/>
      <c r="C26" s="171"/>
      <c r="D26" s="171"/>
    </row>
    <row r="27" spans="1:4" s="389" customFormat="1" ht="14.1" customHeight="1" x14ac:dyDescent="0.2">
      <c r="A27" s="205">
        <f>ROUNDDOWN(A3,0)+1</f>
        <v>32</v>
      </c>
      <c r="B27" s="353" t="str">
        <f>"Note "&amp; A27&amp; " Events after the reporting date"</f>
        <v>Note 32 Events after the reporting date</v>
      </c>
      <c r="C27" s="171"/>
      <c r="D27" s="171"/>
    </row>
    <row r="28" spans="1:4" s="165" customFormat="1" ht="42" customHeight="1" x14ac:dyDescent="0.2">
      <c r="B28" s="448" t="s">
        <v>1447</v>
      </c>
      <c r="C28" s="448"/>
    </row>
    <row r="29" spans="1:4" s="389" customFormat="1" ht="12" customHeight="1" x14ac:dyDescent="0.2">
      <c r="A29" s="205"/>
      <c r="B29" s="386"/>
      <c r="C29" s="386"/>
      <c r="D29" s="386"/>
    </row>
    <row r="30" spans="1:4" s="389" customFormat="1" ht="14.1" customHeight="1" x14ac:dyDescent="0.2">
      <c r="A30" s="205"/>
      <c r="B30" s="386"/>
      <c r="C30" s="386"/>
      <c r="D30" s="386"/>
    </row>
    <row r="31" spans="1:4" s="389" customFormat="1" ht="14.1" customHeight="1" x14ac:dyDescent="0.2">
      <c r="A31" s="205"/>
      <c r="B31" s="386"/>
      <c r="C31" s="386"/>
      <c r="D31" s="386"/>
    </row>
    <row r="32" spans="1:4" s="389" customFormat="1" ht="14.1" customHeight="1" x14ac:dyDescent="0.2">
      <c r="A32" s="205"/>
      <c r="B32" s="386"/>
      <c r="C32" s="386"/>
      <c r="D32" s="386"/>
    </row>
    <row r="33" spans="1:6" s="389" customFormat="1" ht="14.1" customHeight="1" x14ac:dyDescent="0.2">
      <c r="A33" s="205"/>
      <c r="B33" s="386"/>
      <c r="C33" s="386"/>
      <c r="D33" s="386"/>
    </row>
    <row r="34" spans="1:6" s="389" customFormat="1" ht="14.1" customHeight="1" x14ac:dyDescent="0.2">
      <c r="A34" s="205"/>
      <c r="B34" s="386"/>
      <c r="C34" s="386"/>
      <c r="D34" s="386"/>
    </row>
    <row r="35" spans="1:6" s="389" customFormat="1" ht="14.1" customHeight="1" x14ac:dyDescent="0.2">
      <c r="A35" s="205"/>
    </row>
    <row r="36" spans="1:6" s="389" customFormat="1" ht="14.1" customHeight="1" x14ac:dyDescent="0.2">
      <c r="A36" s="205"/>
    </row>
    <row r="37" spans="1:6" s="389" customFormat="1" ht="14.1" customHeight="1" x14ac:dyDescent="0.2">
      <c r="A37" s="205">
        <f>ROUNDDOWN(A27,0)+1</f>
        <v>33</v>
      </c>
      <c r="B37" s="102"/>
    </row>
    <row r="38" spans="1:6" s="389" customFormat="1" ht="14.1" customHeight="1" x14ac:dyDescent="0.2">
      <c r="A38" s="205"/>
      <c r="B38" s="453"/>
      <c r="C38" s="453"/>
      <c r="D38" s="453"/>
      <c r="F38" s="126"/>
    </row>
    <row r="39" spans="1:6" s="389" customFormat="1" ht="14.1" customHeight="1" x14ac:dyDescent="0.2">
      <c r="A39" s="205"/>
      <c r="B39" s="453"/>
      <c r="C39" s="453"/>
      <c r="D39" s="453"/>
    </row>
    <row r="40" spans="1:6" ht="13.7" customHeight="1" x14ac:dyDescent="0.25"/>
    <row r="41" spans="1:6" ht="13.7" customHeight="1" x14ac:dyDescent="0.25"/>
    <row r="42" spans="1:6" ht="13.7" customHeight="1" x14ac:dyDescent="0.25"/>
    <row r="43" spans="1:6" ht="13.7" customHeight="1" x14ac:dyDescent="0.25"/>
    <row r="44" spans="1:6" ht="13.7" customHeight="1" x14ac:dyDescent="0.25"/>
    <row r="45" spans="1:6" ht="13.7" customHeight="1" x14ac:dyDescent="0.25"/>
    <row r="46" spans="1:6" ht="13.7" customHeight="1" x14ac:dyDescent="0.25"/>
    <row r="47" spans="1:6" ht="13.7" customHeight="1" x14ac:dyDescent="0.25"/>
    <row r="48" spans="1:6" ht="13.7" customHeight="1" x14ac:dyDescent="0.25"/>
    <row r="49" ht="13.7" customHeight="1" x14ac:dyDescent="0.25"/>
    <row r="50" ht="13.7" customHeight="1" x14ac:dyDescent="0.25"/>
    <row r="51" ht="13.7" customHeight="1" x14ac:dyDescent="0.25"/>
    <row r="52" ht="13.7" customHeight="1" x14ac:dyDescent="0.25"/>
    <row r="53" ht="13.7" customHeight="1" x14ac:dyDescent="0.25"/>
    <row r="54" ht="13.7" customHeight="1" x14ac:dyDescent="0.25"/>
    <row r="55" ht="13.7" customHeight="1" x14ac:dyDescent="0.25"/>
    <row r="56" ht="13.7" customHeight="1" x14ac:dyDescent="0.25"/>
    <row r="57" ht="13.7" customHeight="1" x14ac:dyDescent="0.25"/>
    <row r="58" ht="13.7" customHeight="1" x14ac:dyDescent="0.25"/>
    <row r="59" ht="13.7" customHeight="1" x14ac:dyDescent="0.25"/>
    <row r="60" ht="13.7" customHeight="1" x14ac:dyDescent="0.25"/>
    <row r="61" ht="13.7" customHeight="1" x14ac:dyDescent="0.25"/>
    <row r="62" ht="13.7" customHeight="1" x14ac:dyDescent="0.25"/>
    <row r="63" ht="13.7" customHeight="1" x14ac:dyDescent="0.25"/>
    <row r="64" ht="13.7" customHeight="1" x14ac:dyDescent="0.25"/>
    <row r="65" ht="13.7" customHeight="1" x14ac:dyDescent="0.25"/>
    <row r="66" ht="13.7" customHeight="1" x14ac:dyDescent="0.25"/>
    <row r="67" ht="13.7" customHeight="1" x14ac:dyDescent="0.25"/>
    <row r="68" ht="13.7" customHeight="1" x14ac:dyDescent="0.25"/>
    <row r="69" ht="13.7" customHeight="1" x14ac:dyDescent="0.25"/>
    <row r="70" ht="13.7" customHeight="1" x14ac:dyDescent="0.25"/>
    <row r="71" ht="13.7" customHeight="1" x14ac:dyDescent="0.25"/>
    <row r="72" ht="13.7" customHeight="1" x14ac:dyDescent="0.25"/>
    <row r="73" ht="13.7" customHeight="1" x14ac:dyDescent="0.25"/>
    <row r="74" ht="13.7" customHeight="1" x14ac:dyDescent="0.25"/>
    <row r="75" ht="13.7" customHeight="1" x14ac:dyDescent="0.25"/>
    <row r="76" ht="13.7" customHeight="1" x14ac:dyDescent="0.25"/>
    <row r="77" ht="13.7" customHeight="1" x14ac:dyDescent="0.25"/>
    <row r="78" ht="13.7" customHeight="1" x14ac:dyDescent="0.25"/>
    <row r="79" ht="13.7" customHeight="1" x14ac:dyDescent="0.25"/>
    <row r="80" ht="13.7" customHeight="1" x14ac:dyDescent="0.25"/>
    <row r="81" ht="13.7" customHeight="1" x14ac:dyDescent="0.25"/>
    <row r="82" ht="13.7" customHeight="1" x14ac:dyDescent="0.25"/>
    <row r="83" ht="13.7" customHeight="1" x14ac:dyDescent="0.25"/>
    <row r="84" ht="13.7" customHeight="1" x14ac:dyDescent="0.25"/>
    <row r="85" ht="13.7" customHeight="1" x14ac:dyDescent="0.25"/>
    <row r="86" ht="13.7" customHeight="1" x14ac:dyDescent="0.25"/>
    <row r="87" ht="13.7" customHeight="1" x14ac:dyDescent="0.25"/>
    <row r="88" ht="13.7" customHeight="1" x14ac:dyDescent="0.25"/>
    <row r="89" ht="13.7" customHeight="1" x14ac:dyDescent="0.25"/>
    <row r="90" ht="13.7" customHeight="1" x14ac:dyDescent="0.25"/>
    <row r="91" ht="13.7" customHeight="1" x14ac:dyDescent="0.25"/>
    <row r="92" ht="13.7" customHeight="1" x14ac:dyDescent="0.25"/>
    <row r="93" ht="13.7" customHeight="1" x14ac:dyDescent="0.25"/>
    <row r="94" ht="13.7" customHeight="1" x14ac:dyDescent="0.25"/>
    <row r="95" ht="13.7" customHeight="1" x14ac:dyDescent="0.25"/>
    <row r="96" ht="13.7" customHeight="1" x14ac:dyDescent="0.25"/>
    <row r="97" ht="13.7" customHeight="1" x14ac:dyDescent="0.25"/>
    <row r="98" ht="13.7" customHeight="1" x14ac:dyDescent="0.25"/>
    <row r="99" ht="13.7" customHeight="1" x14ac:dyDescent="0.25"/>
    <row r="100" ht="13.7" customHeight="1" x14ac:dyDescent="0.25"/>
    <row r="101" ht="13.7" customHeight="1" x14ac:dyDescent="0.25"/>
    <row r="102" ht="13.7" customHeight="1" x14ac:dyDescent="0.25"/>
    <row r="103" ht="13.7" customHeight="1" x14ac:dyDescent="0.25"/>
    <row r="104" ht="13.7" customHeight="1" x14ac:dyDescent="0.25"/>
    <row r="105" ht="13.7" customHeight="1" x14ac:dyDescent="0.25"/>
    <row r="106" ht="13.7" customHeight="1" x14ac:dyDescent="0.25"/>
    <row r="107" ht="13.7" customHeight="1" x14ac:dyDescent="0.25"/>
    <row r="108" ht="13.7" customHeight="1" x14ac:dyDescent="0.25"/>
    <row r="109" ht="13.7" customHeight="1" x14ac:dyDescent="0.25"/>
    <row r="110" ht="13.7" customHeight="1" x14ac:dyDescent="0.25"/>
    <row r="111" ht="13.7" customHeight="1" x14ac:dyDescent="0.25"/>
    <row r="112" ht="13.7" customHeight="1" x14ac:dyDescent="0.25"/>
    <row r="113" ht="13.7" customHeight="1" x14ac:dyDescent="0.25"/>
    <row r="114" ht="13.7" customHeight="1" x14ac:dyDescent="0.25"/>
    <row r="115" ht="13.7" customHeight="1" x14ac:dyDescent="0.25"/>
    <row r="116" ht="13.7" customHeight="1" x14ac:dyDescent="0.25"/>
    <row r="117" ht="13.7" customHeight="1" x14ac:dyDescent="0.25"/>
    <row r="118" ht="13.7" customHeight="1" x14ac:dyDescent="0.25"/>
    <row r="119" ht="13.7" customHeight="1" x14ac:dyDescent="0.25"/>
    <row r="120" ht="13.7" customHeight="1" x14ac:dyDescent="0.25"/>
    <row r="121" ht="13.7" customHeight="1" x14ac:dyDescent="0.25"/>
    <row r="122" ht="13.7" customHeight="1" x14ac:dyDescent="0.25"/>
    <row r="123" ht="13.7" customHeight="1" x14ac:dyDescent="0.25"/>
    <row r="124" ht="13.7" customHeight="1" x14ac:dyDescent="0.25"/>
    <row r="125" ht="13.7" customHeight="1" x14ac:dyDescent="0.25"/>
    <row r="126" ht="13.7" customHeight="1" x14ac:dyDescent="0.25"/>
    <row r="127" ht="13.7" customHeight="1" x14ac:dyDescent="0.25"/>
    <row r="128" ht="13.7" customHeight="1" x14ac:dyDescent="0.25"/>
    <row r="129" ht="13.7" customHeight="1" x14ac:dyDescent="0.25"/>
    <row r="130" ht="13.7" customHeight="1" x14ac:dyDescent="0.25"/>
    <row r="131" ht="13.7" customHeight="1" x14ac:dyDescent="0.25"/>
    <row r="132" ht="13.7" customHeight="1" x14ac:dyDescent="0.25"/>
    <row r="133" ht="13.7" customHeight="1" x14ac:dyDescent="0.25"/>
    <row r="134" ht="13.7" customHeight="1" x14ac:dyDescent="0.25"/>
    <row r="135" ht="13.7" customHeight="1" x14ac:dyDescent="0.25"/>
    <row r="136" ht="13.7" customHeight="1" x14ac:dyDescent="0.25"/>
    <row r="137" ht="13.7" customHeight="1" x14ac:dyDescent="0.25"/>
    <row r="138" ht="13.7" customHeight="1" x14ac:dyDescent="0.25"/>
    <row r="139" ht="13.7" customHeight="1" x14ac:dyDescent="0.25"/>
    <row r="140" ht="13.7" customHeight="1" x14ac:dyDescent="0.25"/>
    <row r="141" ht="13.7" customHeight="1" x14ac:dyDescent="0.25"/>
    <row r="142" ht="13.7" customHeight="1" x14ac:dyDescent="0.25"/>
    <row r="143" ht="13.7" customHeight="1" x14ac:dyDescent="0.25"/>
    <row r="144" ht="13.7" customHeight="1" x14ac:dyDescent="0.25"/>
    <row r="145" ht="13.7" customHeight="1" x14ac:dyDescent="0.25"/>
    <row r="146" ht="13.7" customHeight="1" x14ac:dyDescent="0.25"/>
    <row r="147" ht="13.7" customHeight="1" x14ac:dyDescent="0.25"/>
    <row r="148" ht="13.7" customHeight="1" x14ac:dyDescent="0.25"/>
    <row r="149" ht="13.7" customHeight="1" x14ac:dyDescent="0.25"/>
    <row r="150" ht="13.7" customHeight="1" x14ac:dyDescent="0.25"/>
    <row r="151" ht="13.7" customHeight="1" x14ac:dyDescent="0.25"/>
    <row r="152" ht="13.7" customHeight="1" x14ac:dyDescent="0.25"/>
    <row r="153" ht="13.7" customHeight="1" x14ac:dyDescent="0.25"/>
    <row r="154" ht="13.7" customHeight="1" x14ac:dyDescent="0.25"/>
    <row r="155" ht="13.7" customHeight="1" x14ac:dyDescent="0.25"/>
    <row r="156" ht="13.7" customHeight="1" x14ac:dyDescent="0.25"/>
    <row r="157" ht="13.7" customHeight="1" x14ac:dyDescent="0.25"/>
    <row r="158" ht="13.7" customHeight="1" x14ac:dyDescent="0.25"/>
    <row r="159" ht="13.7" customHeight="1" x14ac:dyDescent="0.25"/>
    <row r="160" ht="13.7" customHeight="1" x14ac:dyDescent="0.25"/>
    <row r="161" ht="13.7" customHeight="1" x14ac:dyDescent="0.25"/>
    <row r="162" ht="13.7" customHeight="1" x14ac:dyDescent="0.25"/>
    <row r="163" ht="13.7" customHeight="1" x14ac:dyDescent="0.25"/>
    <row r="164" ht="13.7" customHeight="1" x14ac:dyDescent="0.25"/>
    <row r="165" ht="13.7" customHeight="1" x14ac:dyDescent="0.25"/>
    <row r="166" ht="13.7" customHeight="1" x14ac:dyDescent="0.25"/>
    <row r="167" ht="13.7" customHeight="1" x14ac:dyDescent="0.25"/>
    <row r="168" ht="13.7" customHeight="1" x14ac:dyDescent="0.25"/>
    <row r="169" ht="13.7" customHeight="1" x14ac:dyDescent="0.25"/>
    <row r="170" ht="13.7" customHeight="1" x14ac:dyDescent="0.25"/>
    <row r="171" ht="13.7" customHeight="1" x14ac:dyDescent="0.25"/>
    <row r="172" ht="13.7" customHeight="1" x14ac:dyDescent="0.25"/>
    <row r="173" ht="13.7" customHeight="1" x14ac:dyDescent="0.25"/>
    <row r="174" ht="13.7" customHeight="1" x14ac:dyDescent="0.25"/>
    <row r="175" ht="13.7" customHeight="1" x14ac:dyDescent="0.25"/>
    <row r="176" ht="13.7" customHeight="1" x14ac:dyDescent="0.25"/>
    <row r="177" ht="13.7" customHeight="1" x14ac:dyDescent="0.25"/>
    <row r="178" ht="13.7" customHeight="1" x14ac:dyDescent="0.25"/>
    <row r="179" ht="13.7" customHeight="1" x14ac:dyDescent="0.25"/>
    <row r="180" ht="13.7" customHeight="1" x14ac:dyDescent="0.25"/>
    <row r="181" ht="13.7" customHeight="1" x14ac:dyDescent="0.25"/>
    <row r="182" ht="13.7" customHeight="1" x14ac:dyDescent="0.25"/>
    <row r="183" ht="13.7" customHeight="1" x14ac:dyDescent="0.25"/>
    <row r="184" ht="13.7" customHeight="1" x14ac:dyDescent="0.25"/>
    <row r="185" ht="13.7" customHeight="1" x14ac:dyDescent="0.25"/>
    <row r="186" ht="13.7" customHeight="1" x14ac:dyDescent="0.25"/>
    <row r="187" ht="13.7" customHeight="1" x14ac:dyDescent="0.25"/>
    <row r="188" ht="13.7" customHeight="1" x14ac:dyDescent="0.25"/>
    <row r="189" ht="13.7" customHeight="1" x14ac:dyDescent="0.25"/>
    <row r="190" ht="13.7" customHeight="1" x14ac:dyDescent="0.25"/>
    <row r="191" ht="13.7" customHeight="1" x14ac:dyDescent="0.25"/>
    <row r="192" ht="13.7" customHeight="1" x14ac:dyDescent="0.25"/>
    <row r="193" ht="13.7" customHeight="1" x14ac:dyDescent="0.25"/>
    <row r="194" ht="13.7" customHeight="1" x14ac:dyDescent="0.25"/>
    <row r="195" ht="13.7" customHeight="1" x14ac:dyDescent="0.25"/>
    <row r="196" ht="13.7" customHeight="1" x14ac:dyDescent="0.25"/>
    <row r="197" ht="13.7" customHeight="1" x14ac:dyDescent="0.25"/>
    <row r="198" ht="13.7" customHeight="1" x14ac:dyDescent="0.25"/>
    <row r="199" ht="13.7" customHeight="1" x14ac:dyDescent="0.25"/>
    <row r="200" ht="13.7" customHeight="1" x14ac:dyDescent="0.25"/>
    <row r="201" ht="13.7" customHeight="1" x14ac:dyDescent="0.25"/>
    <row r="202" ht="13.7" customHeight="1" x14ac:dyDescent="0.25"/>
    <row r="203" ht="13.7" customHeight="1" x14ac:dyDescent="0.25"/>
    <row r="204" ht="13.7" customHeight="1" x14ac:dyDescent="0.25"/>
    <row r="205" ht="13.7" customHeight="1" x14ac:dyDescent="0.25"/>
    <row r="206" ht="13.7" customHeight="1" x14ac:dyDescent="0.25"/>
    <row r="207" ht="13.7" customHeight="1" x14ac:dyDescent="0.25"/>
    <row r="208" ht="13.7" customHeight="1" x14ac:dyDescent="0.25"/>
    <row r="209" ht="13.7" customHeight="1" x14ac:dyDescent="0.25"/>
    <row r="210" ht="13.7" customHeight="1" x14ac:dyDescent="0.25"/>
    <row r="211" ht="13.7" customHeight="1" x14ac:dyDescent="0.25"/>
    <row r="212" ht="13.7" customHeight="1" x14ac:dyDescent="0.25"/>
    <row r="213" ht="13.7" customHeight="1" x14ac:dyDescent="0.25"/>
    <row r="214" ht="13.7" customHeight="1" x14ac:dyDescent="0.25"/>
    <row r="215" ht="13.7" customHeight="1" x14ac:dyDescent="0.25"/>
    <row r="216" ht="13.7" customHeight="1" x14ac:dyDescent="0.25"/>
    <row r="217" ht="13.7" customHeight="1" x14ac:dyDescent="0.25"/>
    <row r="218" ht="13.7" customHeight="1" x14ac:dyDescent="0.25"/>
    <row r="219" ht="13.7" customHeight="1" x14ac:dyDescent="0.25"/>
    <row r="220" ht="13.7" customHeight="1" x14ac:dyDescent="0.25"/>
    <row r="221" ht="13.7" customHeight="1" x14ac:dyDescent="0.25"/>
    <row r="222" ht="13.7" customHeight="1" x14ac:dyDescent="0.25"/>
    <row r="223" ht="13.7" customHeight="1" x14ac:dyDescent="0.25"/>
    <row r="224" ht="13.7" customHeight="1" x14ac:dyDescent="0.25"/>
    <row r="225" ht="13.7" customHeight="1" x14ac:dyDescent="0.25"/>
    <row r="226" ht="13.7" customHeight="1" x14ac:dyDescent="0.25"/>
    <row r="227" ht="13.7" customHeight="1" x14ac:dyDescent="0.25"/>
    <row r="228" ht="13.7" customHeight="1" x14ac:dyDescent="0.25"/>
    <row r="229" ht="13.7" customHeight="1" x14ac:dyDescent="0.25"/>
    <row r="230" ht="13.7" customHeight="1" x14ac:dyDescent="0.25"/>
    <row r="231" ht="13.7" customHeight="1" x14ac:dyDescent="0.25"/>
    <row r="232" ht="13.7" customHeight="1" x14ac:dyDescent="0.25"/>
    <row r="233" ht="13.7" customHeight="1" x14ac:dyDescent="0.25"/>
    <row r="234" ht="13.7" customHeight="1" x14ac:dyDescent="0.25"/>
    <row r="235" ht="13.7" customHeight="1" x14ac:dyDescent="0.25"/>
    <row r="236" ht="13.7" customHeight="1" x14ac:dyDescent="0.25"/>
    <row r="237" ht="13.7" customHeight="1" x14ac:dyDescent="0.25"/>
    <row r="238" ht="13.7" customHeight="1" x14ac:dyDescent="0.25"/>
    <row r="239" ht="13.7" customHeight="1" x14ac:dyDescent="0.25"/>
    <row r="240" ht="13.7" customHeight="1" x14ac:dyDescent="0.25"/>
    <row r="241" ht="13.7" customHeight="1" x14ac:dyDescent="0.25"/>
    <row r="242" ht="13.7" customHeight="1" x14ac:dyDescent="0.25"/>
    <row r="243" ht="13.7" customHeight="1" x14ac:dyDescent="0.25"/>
    <row r="244" ht="13.7" customHeight="1" x14ac:dyDescent="0.25"/>
    <row r="245" ht="13.7" customHeight="1" x14ac:dyDescent="0.25"/>
    <row r="246" ht="13.7" customHeight="1" x14ac:dyDescent="0.25"/>
    <row r="247" ht="13.7" customHeight="1" x14ac:dyDescent="0.25"/>
    <row r="248" ht="13.7" customHeight="1" x14ac:dyDescent="0.25"/>
    <row r="249" ht="13.7" customHeight="1" x14ac:dyDescent="0.25"/>
    <row r="250" ht="13.7" customHeight="1" x14ac:dyDescent="0.25"/>
    <row r="251" ht="13.7" customHeight="1" x14ac:dyDescent="0.25"/>
    <row r="252" ht="13.7" customHeight="1" x14ac:dyDescent="0.25"/>
    <row r="253" ht="13.7" customHeight="1" x14ac:dyDescent="0.25"/>
    <row r="254" ht="13.7" customHeight="1" x14ac:dyDescent="0.25"/>
    <row r="255" ht="13.7" customHeight="1" x14ac:dyDescent="0.25"/>
    <row r="256" ht="13.7" customHeight="1" x14ac:dyDescent="0.25"/>
    <row r="257" ht="13.7" customHeight="1" x14ac:dyDescent="0.25"/>
    <row r="258" ht="13.7" customHeight="1" x14ac:dyDescent="0.25"/>
    <row r="259" ht="13.7" customHeight="1" x14ac:dyDescent="0.25"/>
    <row r="260" ht="13.7" customHeight="1" x14ac:dyDescent="0.25"/>
    <row r="261" ht="13.7" customHeight="1" x14ac:dyDescent="0.25"/>
  </sheetData>
  <mergeCells count="4">
    <mergeCell ref="B24:D24"/>
    <mergeCell ref="B38:D39"/>
    <mergeCell ref="B28:C28"/>
    <mergeCell ref="B4:D4"/>
  </mergeCells>
  <pageMargins left="0.70866141732283472" right="0.70866141732283472" top="0.74803149606299213" bottom="0.74803149606299213" header="0.31496062992125984" footer="0.31496062992125984"/>
  <pageSetup paperSize="9" scale="90" fitToHeight="0" orientation="portrait" verticalDpi="0" r:id="rId1"/>
  <headerFooter>
    <oddFooter>&amp;RPage &amp;P of &amp;N</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3"/>
  <dimension ref="A1:K50"/>
  <sheetViews>
    <sheetView showGridLines="0" zoomScale="90" zoomScaleNormal="90" workbookViewId="0">
      <selection activeCell="B3" sqref="B3"/>
    </sheetView>
  </sheetViews>
  <sheetFormatPr defaultRowHeight="15" x14ac:dyDescent="0.25"/>
  <cols>
    <col min="1" max="1" width="1.7109375" customWidth="1"/>
    <col min="2" max="2" width="40.42578125" customWidth="1"/>
    <col min="3" max="3" width="10.7109375" customWidth="1"/>
    <col min="4" max="4" width="0.7109375" style="216" customWidth="1"/>
    <col min="5" max="5" width="10.7109375" customWidth="1"/>
    <col min="6" max="6" width="0.85546875" style="216" customWidth="1"/>
    <col min="7" max="7" width="10.7109375" customWidth="1"/>
    <col min="8" max="8" width="0.7109375" style="216" customWidth="1"/>
    <col min="9" max="9" width="10.7109375" customWidth="1"/>
    <col min="10" max="10" width="0.7109375" customWidth="1"/>
  </cols>
  <sheetData>
    <row r="1" spans="1:11" s="317" customFormat="1" x14ac:dyDescent="0.25">
      <c r="A1" s="350" t="s">
        <v>1310</v>
      </c>
      <c r="B1" s="351"/>
      <c r="C1" s="351"/>
      <c r="D1" s="351"/>
      <c r="E1" s="351"/>
      <c r="F1" s="351"/>
    </row>
    <row r="2" spans="1:11" s="317" customFormat="1" x14ac:dyDescent="0.25"/>
    <row r="3" spans="1:11" s="31" customFormat="1" ht="23.25" x14ac:dyDescent="0.35">
      <c r="A3" s="317"/>
      <c r="B3" s="230" t="s">
        <v>1169</v>
      </c>
      <c r="C3" s="317"/>
      <c r="D3" s="317"/>
      <c r="E3" s="317"/>
      <c r="F3" s="317"/>
      <c r="G3" s="317"/>
      <c r="H3" s="317"/>
      <c r="I3" s="317"/>
      <c r="J3" s="317"/>
      <c r="K3" s="317"/>
    </row>
    <row r="4" spans="1:11" ht="13.7" customHeight="1" x14ac:dyDescent="0.25">
      <c r="A4" s="153" t="e">
        <f>ROUNDDOWN('RP, transfers, EARP'!#REF!,0)+1</f>
        <v>#REF!</v>
      </c>
      <c r="B4" s="289" t="e">
        <f>"Note "&amp;A4&amp;" Better Payment Practice code"</f>
        <v>#REF!</v>
      </c>
      <c r="C4" s="313"/>
      <c r="D4" s="313"/>
      <c r="E4" s="313"/>
      <c r="F4" s="313"/>
      <c r="G4" s="313"/>
      <c r="H4" s="313"/>
      <c r="I4" s="317"/>
      <c r="J4" s="317"/>
      <c r="K4" s="317"/>
    </row>
    <row r="5" spans="1:11" ht="13.7" customHeight="1" x14ac:dyDescent="0.25">
      <c r="A5" s="153"/>
      <c r="B5" s="317"/>
      <c r="C5" s="290" t="str">
        <f>CurrentFY</f>
        <v>2021/22</v>
      </c>
      <c r="D5" s="317"/>
      <c r="E5" s="290" t="str">
        <f>CurrentFY</f>
        <v>2021/22</v>
      </c>
      <c r="F5" s="317"/>
      <c r="G5" s="290" t="str">
        <f>ComparativeFY</f>
        <v>2020/21</v>
      </c>
      <c r="H5" s="317"/>
      <c r="I5" s="290" t="str">
        <f>ComparativeFY</f>
        <v>2020/21</v>
      </c>
      <c r="J5" s="317"/>
      <c r="K5" s="317"/>
    </row>
    <row r="6" spans="1:11" ht="13.7" customHeight="1" x14ac:dyDescent="0.25">
      <c r="A6" s="153"/>
      <c r="B6" s="289" t="s">
        <v>1170</v>
      </c>
      <c r="C6" s="290" t="s">
        <v>1171</v>
      </c>
      <c r="D6" s="317"/>
      <c r="E6" s="290" t="s">
        <v>590</v>
      </c>
      <c r="F6" s="317"/>
      <c r="G6" s="290" t="s">
        <v>1171</v>
      </c>
      <c r="H6" s="317"/>
      <c r="I6" s="290" t="s">
        <v>590</v>
      </c>
      <c r="J6" s="317"/>
      <c r="K6" s="317"/>
    </row>
    <row r="7" spans="1:11" ht="13.7" customHeight="1" x14ac:dyDescent="0.25">
      <c r="A7" s="153"/>
      <c r="B7" s="327" t="s">
        <v>1172</v>
      </c>
      <c r="C7" s="219"/>
      <c r="D7" s="317"/>
      <c r="E7" s="219"/>
      <c r="F7" s="219"/>
      <c r="G7" s="219"/>
      <c r="H7" s="219"/>
      <c r="I7" s="219"/>
      <c r="J7" s="317"/>
      <c r="K7" s="317"/>
    </row>
    <row r="8" spans="1:11" s="31" customFormat="1" ht="13.7" customHeight="1" x14ac:dyDescent="0.25">
      <c r="A8" s="153"/>
      <c r="B8" s="327" t="s">
        <v>1173</v>
      </c>
      <c r="C8" s="219"/>
      <c r="D8" s="317"/>
      <c r="E8" s="219"/>
      <c r="F8" s="219"/>
      <c r="G8" s="219"/>
      <c r="H8" s="219"/>
      <c r="I8" s="219"/>
      <c r="J8" s="317"/>
      <c r="K8" s="317"/>
    </row>
    <row r="9" spans="1:11" ht="27.75" customHeight="1" thickBot="1" x14ac:dyDescent="0.3">
      <c r="A9" s="153"/>
      <c r="B9" s="327" t="s">
        <v>1174</v>
      </c>
      <c r="C9" s="254">
        <f>IFERROR(C8/C7,0)</f>
        <v>0</v>
      </c>
      <c r="D9" s="317"/>
      <c r="E9" s="254">
        <f>IFERROR(E8/E7,0)</f>
        <v>0</v>
      </c>
      <c r="F9" s="317"/>
      <c r="G9" s="254">
        <f>IFERROR(G8/G7,0)</f>
        <v>0</v>
      </c>
      <c r="H9" s="317"/>
      <c r="I9" s="254">
        <f>IFERROR(I8/I7,0)</f>
        <v>0</v>
      </c>
      <c r="J9" s="317"/>
      <c r="K9" s="317"/>
    </row>
    <row r="10" spans="1:11" ht="7.5" customHeight="1" thickTop="1" x14ac:dyDescent="0.25">
      <c r="A10" s="153"/>
      <c r="B10" s="317"/>
      <c r="C10" s="317"/>
      <c r="D10" s="317"/>
      <c r="E10" s="313"/>
      <c r="F10" s="317"/>
      <c r="G10" s="313"/>
      <c r="H10" s="317"/>
      <c r="I10" s="317"/>
      <c r="J10" s="317"/>
      <c r="K10" s="317"/>
    </row>
    <row r="11" spans="1:11" ht="13.7" customHeight="1" x14ac:dyDescent="0.25">
      <c r="A11" s="153"/>
      <c r="B11" s="289" t="s">
        <v>1175</v>
      </c>
      <c r="C11" s="219"/>
      <c r="D11" s="317"/>
      <c r="E11" s="219"/>
      <c r="F11" s="317"/>
      <c r="G11" s="219"/>
      <c r="H11" s="317"/>
      <c r="I11" s="219"/>
      <c r="J11" s="317"/>
      <c r="K11" s="317"/>
    </row>
    <row r="12" spans="1:11" s="31" customFormat="1" ht="13.7" customHeight="1" x14ac:dyDescent="0.25">
      <c r="A12" s="153"/>
      <c r="B12" s="327" t="s">
        <v>1176</v>
      </c>
      <c r="C12" s="219"/>
      <c r="D12" s="317"/>
      <c r="E12" s="219"/>
      <c r="F12" s="317"/>
      <c r="G12" s="219"/>
      <c r="H12" s="317"/>
      <c r="I12" s="219"/>
      <c r="J12" s="317"/>
      <c r="K12" s="317"/>
    </row>
    <row r="13" spans="1:11" ht="13.7" customHeight="1" x14ac:dyDescent="0.25">
      <c r="A13" s="153"/>
      <c r="B13" s="327" t="s">
        <v>1177</v>
      </c>
      <c r="C13" s="219"/>
      <c r="D13" s="317"/>
      <c r="E13" s="219"/>
      <c r="F13" s="317"/>
      <c r="G13" s="219"/>
      <c r="H13" s="317"/>
      <c r="I13" s="219"/>
      <c r="J13" s="317"/>
      <c r="K13" s="317"/>
    </row>
    <row r="14" spans="1:11" s="31" customFormat="1" ht="13.7" customHeight="1" thickBot="1" x14ac:dyDescent="0.3">
      <c r="A14" s="153"/>
      <c r="B14" s="183" t="s">
        <v>1178</v>
      </c>
      <c r="C14" s="254">
        <f>IFERROR(C13/C12,0)</f>
        <v>0</v>
      </c>
      <c r="D14" s="317"/>
      <c r="E14" s="254">
        <f>IFERROR(E13/E12,0)</f>
        <v>0</v>
      </c>
      <c r="F14" s="317"/>
      <c r="G14" s="254">
        <f>IFERROR(G13/G12,0)</f>
        <v>0</v>
      </c>
      <c r="H14" s="317"/>
      <c r="I14" s="254">
        <f>IFERROR(I13/I12,0)</f>
        <v>0</v>
      </c>
      <c r="J14" s="317"/>
      <c r="K14" s="317"/>
    </row>
    <row r="15" spans="1:11" s="31" customFormat="1" ht="8.85" customHeight="1" thickTop="1" x14ac:dyDescent="0.25">
      <c r="A15" s="153"/>
      <c r="B15" s="317"/>
      <c r="C15" s="313"/>
      <c r="D15" s="317"/>
      <c r="E15" s="313"/>
      <c r="F15" s="313"/>
      <c r="G15" s="313"/>
      <c r="H15" s="313"/>
      <c r="I15" s="317"/>
      <c r="J15" s="317"/>
      <c r="K15" s="317"/>
    </row>
    <row r="16" spans="1:11" s="31" customFormat="1" ht="15" customHeight="1" x14ac:dyDescent="0.25">
      <c r="A16" s="153"/>
      <c r="B16" s="445" t="s">
        <v>1179</v>
      </c>
      <c r="C16" s="445"/>
      <c r="D16" s="445"/>
      <c r="E16" s="445"/>
      <c r="F16" s="445"/>
      <c r="G16" s="445"/>
      <c r="H16" s="445"/>
      <c r="I16" s="445"/>
      <c r="J16" s="317"/>
      <c r="K16" s="317"/>
    </row>
    <row r="17" spans="1:11" x14ac:dyDescent="0.25">
      <c r="A17" s="153"/>
      <c r="B17" s="445"/>
      <c r="C17" s="445"/>
      <c r="D17" s="445"/>
      <c r="E17" s="445"/>
      <c r="F17" s="445"/>
      <c r="G17" s="445"/>
      <c r="H17" s="445"/>
      <c r="I17" s="445"/>
      <c r="J17" s="317"/>
      <c r="K17" s="317"/>
    </row>
    <row r="18" spans="1:11" s="31" customFormat="1" ht="13.7" customHeight="1" x14ac:dyDescent="0.25">
      <c r="A18" s="153"/>
      <c r="B18" s="150"/>
      <c r="C18" s="150"/>
      <c r="D18" s="150"/>
      <c r="E18" s="150"/>
      <c r="F18" s="150"/>
      <c r="G18" s="150"/>
      <c r="H18" s="150"/>
      <c r="I18" s="150"/>
      <c r="J18" s="317"/>
      <c r="K18" s="317"/>
    </row>
    <row r="19" spans="1:11" s="200" customFormat="1" ht="13.7" customHeight="1" x14ac:dyDescent="0.25">
      <c r="A19" s="153" t="e">
        <f>ROUNDDOWN(A4,0)+1</f>
        <v>#REF!</v>
      </c>
      <c r="B19" s="289" t="e">
        <f>"Note "&amp;A19&amp;" External financing"</f>
        <v>#REF!</v>
      </c>
      <c r="C19" s="150"/>
      <c r="D19" s="150"/>
      <c r="E19" s="150"/>
      <c r="F19" s="150"/>
      <c r="G19" s="150"/>
      <c r="H19" s="150"/>
      <c r="I19" s="150"/>
      <c r="J19" s="317"/>
      <c r="K19" s="317"/>
    </row>
    <row r="20" spans="1:11" s="200" customFormat="1" ht="13.7" customHeight="1" x14ac:dyDescent="0.25">
      <c r="A20" s="153"/>
      <c r="B20" s="214" t="s">
        <v>1180</v>
      </c>
      <c r="C20" s="150"/>
      <c r="D20" s="150"/>
      <c r="E20" s="150"/>
      <c r="F20" s="150"/>
      <c r="G20" s="150"/>
      <c r="H20" s="150"/>
      <c r="I20" s="150"/>
      <c r="J20" s="317"/>
      <c r="K20" s="317"/>
    </row>
    <row r="21" spans="1:11" s="200" customFormat="1" ht="13.7" customHeight="1" x14ac:dyDescent="0.25">
      <c r="A21" s="153"/>
      <c r="B21" s="327"/>
      <c r="C21" s="317"/>
      <c r="D21" s="317"/>
      <c r="E21" s="317"/>
      <c r="F21" s="290"/>
      <c r="G21" s="290" t="str">
        <f>CurrentFY</f>
        <v>2021/22</v>
      </c>
      <c r="H21" s="290"/>
      <c r="I21" s="290" t="str">
        <f>ComparativeFY</f>
        <v>2020/21</v>
      </c>
      <c r="J21" s="317"/>
      <c r="K21" s="317"/>
    </row>
    <row r="22" spans="1:11" s="200" customFormat="1" ht="13.7" customHeight="1" x14ac:dyDescent="0.25">
      <c r="A22" s="153"/>
      <c r="B22" s="327"/>
      <c r="C22" s="317"/>
      <c r="D22" s="317"/>
      <c r="E22" s="317"/>
      <c r="F22" s="290"/>
      <c r="G22" s="290" t="s">
        <v>590</v>
      </c>
      <c r="H22" s="290"/>
      <c r="I22" s="290" t="s">
        <v>590</v>
      </c>
      <c r="J22" s="317"/>
      <c r="K22" s="317"/>
    </row>
    <row r="23" spans="1:11" s="200" customFormat="1" ht="13.7" customHeight="1" x14ac:dyDescent="0.25">
      <c r="A23" s="153"/>
      <c r="B23" s="327" t="s">
        <v>1181</v>
      </c>
      <c r="C23" s="317"/>
      <c r="D23" s="317"/>
      <c r="E23" s="317"/>
      <c r="F23" s="290"/>
      <c r="G23" s="219"/>
      <c r="H23" s="219"/>
      <c r="I23" s="219"/>
      <c r="J23" s="317"/>
      <c r="K23" s="317"/>
    </row>
    <row r="24" spans="1:11" s="200" customFormat="1" ht="13.7" customHeight="1" x14ac:dyDescent="0.25">
      <c r="A24" s="153"/>
      <c r="B24" s="327" t="s">
        <v>1182</v>
      </c>
      <c r="C24" s="317"/>
      <c r="D24" s="317"/>
      <c r="E24" s="317"/>
      <c r="F24" s="290"/>
      <c r="G24" s="219"/>
      <c r="H24" s="219"/>
      <c r="I24" s="219"/>
      <c r="J24" s="317"/>
      <c r="K24" s="317"/>
    </row>
    <row r="25" spans="1:11" s="216" customFormat="1" ht="13.7" customHeight="1" x14ac:dyDescent="0.25">
      <c r="A25" s="153"/>
      <c r="B25" s="327" t="s">
        <v>634</v>
      </c>
      <c r="C25" s="317"/>
      <c r="D25" s="317"/>
      <c r="E25" s="317"/>
      <c r="F25" s="290"/>
      <c r="G25" s="219"/>
      <c r="H25" s="219"/>
      <c r="I25" s="219"/>
      <c r="J25" s="317"/>
      <c r="K25" s="317"/>
    </row>
    <row r="26" spans="1:11" s="216" customFormat="1" ht="13.7" customHeight="1" x14ac:dyDescent="0.25">
      <c r="A26" s="153"/>
      <c r="B26" s="28" t="s">
        <v>1183</v>
      </c>
      <c r="C26" s="317"/>
      <c r="D26" s="317"/>
      <c r="E26" s="317"/>
      <c r="F26" s="290"/>
      <c r="G26" s="207">
        <f>SUM(G23:G25)</f>
        <v>0</v>
      </c>
      <c r="H26" s="290"/>
      <c r="I26" s="207">
        <f>SUM(I23:I25)</f>
        <v>0</v>
      </c>
      <c r="J26" s="317"/>
      <c r="K26" s="317"/>
    </row>
    <row r="27" spans="1:11" s="200" customFormat="1" ht="13.7" customHeight="1" x14ac:dyDescent="0.25">
      <c r="A27" s="153"/>
      <c r="B27" s="327" t="s">
        <v>1184</v>
      </c>
      <c r="C27" s="317"/>
      <c r="D27" s="317"/>
      <c r="E27" s="317"/>
      <c r="F27" s="150"/>
      <c r="G27" s="219"/>
      <c r="H27" s="150"/>
      <c r="I27" s="219"/>
      <c r="J27" s="317"/>
      <c r="K27" s="317"/>
    </row>
    <row r="28" spans="1:11" s="200" customFormat="1" ht="13.7" customHeight="1" thickBot="1" x14ac:dyDescent="0.3">
      <c r="A28" s="153"/>
      <c r="B28" s="28" t="s">
        <v>1185</v>
      </c>
      <c r="C28" s="317"/>
      <c r="D28" s="317"/>
      <c r="E28" s="317"/>
      <c r="F28" s="193"/>
      <c r="G28" s="206">
        <f>G27-G26</f>
        <v>0</v>
      </c>
      <c r="H28" s="317"/>
      <c r="I28" s="206">
        <f>I27-I26</f>
        <v>0</v>
      </c>
      <c r="J28" s="317"/>
      <c r="K28" s="317"/>
    </row>
    <row r="29" spans="1:11" s="200" customFormat="1" ht="13.7" customHeight="1" thickTop="1" x14ac:dyDescent="0.25">
      <c r="A29" s="153"/>
      <c r="B29" s="150"/>
      <c r="C29" s="317"/>
      <c r="D29" s="317"/>
      <c r="E29" s="317"/>
      <c r="F29" s="150"/>
      <c r="G29" s="150"/>
      <c r="H29" s="150"/>
      <c r="I29" s="150"/>
      <c r="J29" s="317"/>
      <c r="K29" s="317"/>
    </row>
    <row r="30" spans="1:11" ht="13.7" customHeight="1" x14ac:dyDescent="0.25">
      <c r="A30" s="153" t="e">
        <f>ROUNDDOWN(A19,0)+1</f>
        <v>#REF!</v>
      </c>
      <c r="B30" s="289" t="e">
        <f>"Note "&amp;A30&amp;" Capital Resource Limit "</f>
        <v>#REF!</v>
      </c>
      <c r="C30" s="317"/>
      <c r="D30" s="317"/>
      <c r="E30" s="317"/>
      <c r="F30" s="313"/>
      <c r="G30" s="313"/>
      <c r="H30" s="313"/>
      <c r="I30" s="313"/>
      <c r="J30" s="317"/>
      <c r="K30" s="317"/>
    </row>
    <row r="31" spans="1:11" ht="13.7" customHeight="1" x14ac:dyDescent="0.25">
      <c r="A31" s="153"/>
      <c r="B31" s="313"/>
      <c r="C31" s="317"/>
      <c r="D31" s="317"/>
      <c r="E31" s="317"/>
      <c r="F31" s="313"/>
      <c r="G31" s="290" t="str">
        <f>CurrentFY</f>
        <v>2021/22</v>
      </c>
      <c r="H31" s="290"/>
      <c r="I31" s="290" t="str">
        <f>ComparativeFY</f>
        <v>2020/21</v>
      </c>
      <c r="J31" s="317"/>
      <c r="K31" s="317"/>
    </row>
    <row r="32" spans="1:11" ht="13.7" customHeight="1" x14ac:dyDescent="0.25">
      <c r="A32" s="153"/>
      <c r="B32" s="313"/>
      <c r="C32" s="317"/>
      <c r="D32" s="317"/>
      <c r="E32" s="317"/>
      <c r="F32" s="313"/>
      <c r="G32" s="290" t="s">
        <v>590</v>
      </c>
      <c r="H32" s="290"/>
      <c r="I32" s="290" t="s">
        <v>590</v>
      </c>
      <c r="J32" s="317"/>
      <c r="K32" s="317"/>
    </row>
    <row r="33" spans="1:11" s="31" customFormat="1" ht="13.7" customHeight="1" x14ac:dyDescent="0.25">
      <c r="A33" s="153"/>
      <c r="B33" s="327" t="s">
        <v>1186</v>
      </c>
      <c r="C33" s="317"/>
      <c r="D33" s="317"/>
      <c r="E33" s="317"/>
      <c r="F33" s="313"/>
      <c r="G33" s="219">
        <v>0</v>
      </c>
      <c r="H33" s="219"/>
      <c r="I33" s="219">
        <v>0</v>
      </c>
      <c r="J33" s="317"/>
      <c r="K33" s="317"/>
    </row>
    <row r="34" spans="1:11" s="31" customFormat="1" ht="13.7" customHeight="1" x14ac:dyDescent="0.25">
      <c r="A34" s="153"/>
      <c r="B34" s="327" t="s">
        <v>1187</v>
      </c>
      <c r="C34" s="317"/>
      <c r="D34" s="317"/>
      <c r="E34" s="317"/>
      <c r="F34" s="313"/>
      <c r="G34" s="219">
        <v>0</v>
      </c>
      <c r="H34" s="219"/>
      <c r="I34" s="219">
        <v>0</v>
      </c>
      <c r="J34" s="317"/>
      <c r="K34" s="317"/>
    </row>
    <row r="35" spans="1:11" s="31" customFormat="1" ht="13.7" customHeight="1" x14ac:dyDescent="0.25">
      <c r="A35" s="153"/>
      <c r="B35" s="327" t="s">
        <v>1188</v>
      </c>
      <c r="C35" s="317"/>
      <c r="D35" s="317"/>
      <c r="E35" s="317"/>
      <c r="F35" s="313"/>
      <c r="G35" s="219">
        <v>0</v>
      </c>
      <c r="H35" s="219"/>
      <c r="I35" s="219">
        <v>0</v>
      </c>
    </row>
    <row r="36" spans="1:11" s="31" customFormat="1" ht="13.7" customHeight="1" x14ac:dyDescent="0.25">
      <c r="A36" s="153"/>
      <c r="B36" s="327" t="s">
        <v>1189</v>
      </c>
      <c r="C36" s="317"/>
      <c r="D36" s="317"/>
      <c r="E36" s="317"/>
      <c r="F36" s="313"/>
      <c r="G36" s="219">
        <v>0</v>
      </c>
      <c r="H36" s="219"/>
      <c r="I36" s="219">
        <v>0</v>
      </c>
    </row>
    <row r="37" spans="1:11" s="31" customFormat="1" ht="13.7" customHeight="1" thickBot="1" x14ac:dyDescent="0.3">
      <c r="A37" s="153"/>
      <c r="B37" s="289" t="s">
        <v>1190</v>
      </c>
      <c r="C37" s="317"/>
      <c r="D37" s="317"/>
      <c r="E37" s="317"/>
      <c r="F37" s="313"/>
      <c r="G37" s="206">
        <f>SUM(G33:G36)</f>
        <v>0</v>
      </c>
      <c r="H37" s="193"/>
      <c r="I37" s="206">
        <f>SUM(I33:I36)</f>
        <v>0</v>
      </c>
    </row>
    <row r="38" spans="1:11" s="31" customFormat="1" ht="13.7" customHeight="1" thickTop="1" x14ac:dyDescent="0.25">
      <c r="A38" s="153"/>
      <c r="B38" s="313"/>
      <c r="C38" s="317"/>
      <c r="D38" s="317"/>
      <c r="E38" s="317"/>
      <c r="F38" s="313"/>
      <c r="G38" s="313"/>
      <c r="H38" s="313"/>
      <c r="I38" s="313"/>
    </row>
    <row r="39" spans="1:11" s="31" customFormat="1" ht="13.7" customHeight="1" x14ac:dyDescent="0.25">
      <c r="A39" s="153"/>
      <c r="B39" s="327" t="s">
        <v>1191</v>
      </c>
      <c r="C39" s="317"/>
      <c r="D39" s="317"/>
      <c r="E39" s="317"/>
      <c r="F39" s="313"/>
      <c r="G39" s="219">
        <v>0</v>
      </c>
      <c r="H39" s="219"/>
      <c r="I39" s="219">
        <v>0</v>
      </c>
    </row>
    <row r="40" spans="1:11" s="31" customFormat="1" ht="13.7" customHeight="1" thickBot="1" x14ac:dyDescent="0.3">
      <c r="A40" s="153"/>
      <c r="B40" s="316" t="s">
        <v>1192</v>
      </c>
      <c r="C40" s="317"/>
      <c r="D40" s="317"/>
      <c r="E40" s="317"/>
      <c r="F40" s="219"/>
      <c r="G40" s="206">
        <f>G39-G37</f>
        <v>0</v>
      </c>
      <c r="H40" s="219"/>
      <c r="I40" s="206">
        <f>I39-I37</f>
        <v>0</v>
      </c>
    </row>
    <row r="41" spans="1:11" s="31" customFormat="1" ht="13.7" customHeight="1" thickTop="1" x14ac:dyDescent="0.25">
      <c r="A41" s="153"/>
      <c r="B41" s="313"/>
      <c r="C41" s="313"/>
      <c r="D41" s="313"/>
      <c r="E41" s="313"/>
      <c r="F41" s="313"/>
      <c r="G41" s="313"/>
      <c r="H41" s="313"/>
      <c r="I41" s="317"/>
    </row>
    <row r="42" spans="1:11" ht="13.7" customHeight="1" x14ac:dyDescent="0.25">
      <c r="A42" s="153" t="e">
        <f>ROUNDDOWN(A30,0)+1</f>
        <v>#REF!</v>
      </c>
      <c r="B42" s="289" t="e">
        <f>"Note "&amp;A42&amp;" Breakeven duty financial performance "</f>
        <v>#REF!</v>
      </c>
      <c r="C42" s="313"/>
      <c r="D42" s="313"/>
      <c r="E42" s="313"/>
      <c r="F42" s="313"/>
      <c r="G42" s="313"/>
      <c r="H42" s="313"/>
      <c r="I42" s="317"/>
    </row>
    <row r="43" spans="1:11" ht="13.7" customHeight="1" x14ac:dyDescent="0.25">
      <c r="A43" s="153"/>
      <c r="B43" s="313"/>
      <c r="C43" s="317"/>
      <c r="D43" s="290"/>
      <c r="E43" s="313"/>
      <c r="F43" s="313"/>
      <c r="G43" s="313"/>
      <c r="H43" s="313"/>
      <c r="I43" s="290" t="str">
        <f>CurrentFY</f>
        <v>2021/22</v>
      </c>
    </row>
    <row r="44" spans="1:11" ht="13.7" customHeight="1" x14ac:dyDescent="0.25">
      <c r="A44" s="231"/>
      <c r="B44" s="313"/>
      <c r="C44" s="317"/>
      <c r="D44" s="290"/>
      <c r="E44" s="317"/>
      <c r="F44" s="317"/>
      <c r="G44" s="317"/>
      <c r="H44" s="317"/>
      <c r="I44" s="290" t="s">
        <v>590</v>
      </c>
    </row>
    <row r="45" spans="1:11" ht="13.7" customHeight="1" x14ac:dyDescent="0.25">
      <c r="A45" s="231"/>
      <c r="B45" s="183" t="s">
        <v>1193</v>
      </c>
      <c r="C45" s="317"/>
      <c r="D45" s="219"/>
      <c r="E45" s="317"/>
      <c r="F45" s="317"/>
      <c r="G45" s="317"/>
      <c r="H45" s="317"/>
      <c r="I45" s="219">
        <v>0</v>
      </c>
    </row>
    <row r="46" spans="1:11" ht="13.7" customHeight="1" x14ac:dyDescent="0.25">
      <c r="A46" s="231"/>
      <c r="B46" s="183" t="s">
        <v>1194</v>
      </c>
      <c r="C46" s="317"/>
      <c r="D46" s="219"/>
      <c r="E46" s="317"/>
      <c r="F46" s="317"/>
      <c r="G46" s="317"/>
      <c r="H46" s="317"/>
      <c r="I46" s="219">
        <v>0</v>
      </c>
    </row>
    <row r="47" spans="1:11" s="216" customFormat="1" ht="13.7" customHeight="1" x14ac:dyDescent="0.25">
      <c r="A47" s="231"/>
      <c r="B47" s="183" t="s">
        <v>1195</v>
      </c>
      <c r="C47" s="317"/>
      <c r="D47" s="219"/>
      <c r="E47" s="317"/>
      <c r="F47" s="317"/>
      <c r="G47" s="317"/>
      <c r="H47" s="317"/>
      <c r="I47" s="219">
        <v>0</v>
      </c>
    </row>
    <row r="48" spans="1:11" ht="13.7" customHeight="1" x14ac:dyDescent="0.25">
      <c r="A48" s="231"/>
      <c r="B48" s="183" t="s">
        <v>1196</v>
      </c>
      <c r="C48" s="317"/>
      <c r="D48" s="219"/>
      <c r="E48" s="317"/>
      <c r="F48" s="317"/>
      <c r="G48" s="317"/>
      <c r="H48" s="317"/>
      <c r="I48" s="219">
        <v>0</v>
      </c>
    </row>
    <row r="49" spans="1:9" ht="13.7" customHeight="1" thickBot="1" x14ac:dyDescent="0.3">
      <c r="A49" s="231"/>
      <c r="B49" s="289" t="s">
        <v>1197</v>
      </c>
      <c r="C49" s="317"/>
      <c r="D49" s="193"/>
      <c r="E49" s="317"/>
      <c r="F49" s="317"/>
      <c r="G49" s="317"/>
      <c r="H49" s="317"/>
      <c r="I49" s="206">
        <f>SUM(I45:I48)</f>
        <v>0</v>
      </c>
    </row>
    <row r="50" spans="1:9" ht="15.75" thickTop="1" x14ac:dyDescent="0.25">
      <c r="A50" s="317"/>
      <c r="B50" s="317"/>
      <c r="C50" s="317"/>
      <c r="D50" s="317"/>
      <c r="E50" s="317"/>
      <c r="F50" s="317"/>
      <c r="G50" s="317"/>
      <c r="H50" s="317"/>
      <c r="I50" s="317"/>
    </row>
  </sheetData>
  <mergeCells count="1">
    <mergeCell ref="B16:I17"/>
  </mergeCells>
  <pageMargins left="0.7" right="0.7" top="0.75" bottom="0.75" header="0.3" footer="0.3"/>
  <pageSetup paperSize="9" orientation="portrait"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4">
    <tabColor theme="8" tint="0.39997558519241921"/>
  </sheetPr>
  <dimension ref="A1:Q22"/>
  <sheetViews>
    <sheetView showGridLines="0" zoomScale="90" zoomScaleNormal="90" workbookViewId="0">
      <selection activeCell="B3" sqref="B3"/>
    </sheetView>
  </sheetViews>
  <sheetFormatPr defaultColWidth="9.140625" defaultRowHeight="13.7" customHeight="1" x14ac:dyDescent="0.25"/>
  <cols>
    <col min="1" max="1" width="1.7109375" style="31" customWidth="1"/>
    <col min="2" max="2" width="57.28515625" style="31" customWidth="1"/>
    <col min="3" max="4" width="10.28515625" style="31" customWidth="1"/>
    <col min="5" max="5" width="10.28515625" style="245" customWidth="1"/>
    <col min="6" max="9" width="10.28515625" style="31" customWidth="1"/>
    <col min="10" max="13" width="8.7109375" style="31" customWidth="1"/>
    <col min="14" max="14" width="8.7109375" style="216" customWidth="1"/>
    <col min="15" max="16384" width="9.140625" style="31"/>
  </cols>
  <sheetData>
    <row r="1" spans="1:17" s="317" customFormat="1" ht="13.7" customHeight="1" x14ac:dyDescent="0.25">
      <c r="A1" s="350" t="s">
        <v>1310</v>
      </c>
      <c r="B1" s="351"/>
      <c r="C1" s="351"/>
      <c r="D1" s="351"/>
      <c r="E1" s="351"/>
      <c r="F1" s="351"/>
    </row>
    <row r="2" spans="1:17" s="317" customFormat="1" ht="13.7" customHeight="1" x14ac:dyDescent="0.25"/>
    <row r="3" spans="1:17" ht="24" customHeight="1" x14ac:dyDescent="0.35">
      <c r="A3" s="317"/>
      <c r="B3" s="230" t="s">
        <v>1198</v>
      </c>
      <c r="C3" s="317"/>
      <c r="D3" s="317"/>
      <c r="E3" s="317"/>
      <c r="F3" s="317"/>
      <c r="G3" s="317"/>
      <c r="H3" s="317"/>
      <c r="I3" s="317"/>
      <c r="J3" s="317"/>
      <c r="K3" s="317"/>
      <c r="L3" s="317"/>
      <c r="M3" s="317"/>
      <c r="N3" s="317"/>
      <c r="O3" s="317"/>
      <c r="P3" s="317"/>
      <c r="Q3" s="317"/>
    </row>
    <row r="4" spans="1:17" ht="13.7" customHeight="1" x14ac:dyDescent="0.25">
      <c r="A4" s="153" t="e">
        <f>ROUNDDOWN('CRL and breakeven duty'!A42,0)+1</f>
        <v>#REF!</v>
      </c>
      <c r="B4" s="289" t="e">
        <f>"Note "&amp;A4&amp;" Breakeven duty rolling assessment "</f>
        <v>#REF!</v>
      </c>
      <c r="C4" s="317"/>
      <c r="D4" s="317"/>
      <c r="E4" s="317"/>
      <c r="F4" s="317"/>
      <c r="G4" s="317"/>
      <c r="H4" s="317"/>
      <c r="I4" s="317"/>
      <c r="J4" s="317"/>
      <c r="K4" s="313"/>
      <c r="L4" s="313"/>
      <c r="M4" s="313"/>
      <c r="N4" s="313"/>
      <c r="O4" s="317"/>
      <c r="P4" s="317"/>
      <c r="Q4" s="317"/>
    </row>
    <row r="5" spans="1:17" s="288" customFormat="1" ht="13.7" customHeight="1" x14ac:dyDescent="0.25">
      <c r="A5" s="153"/>
      <c r="B5" s="289"/>
      <c r="C5" s="317"/>
      <c r="D5" s="317"/>
      <c r="E5" s="317"/>
      <c r="F5" s="317"/>
      <c r="G5" s="317"/>
      <c r="H5" s="317"/>
      <c r="I5" s="317"/>
      <c r="J5" s="317"/>
      <c r="K5" s="313"/>
      <c r="L5" s="313"/>
      <c r="M5" s="313"/>
      <c r="N5" s="313"/>
      <c r="O5" s="317"/>
      <c r="P5" s="317"/>
      <c r="Q5" s="317"/>
    </row>
    <row r="6" spans="1:17" ht="13.7" customHeight="1" x14ac:dyDescent="0.25">
      <c r="A6" s="231"/>
      <c r="B6" s="315" t="s">
        <v>1199</v>
      </c>
      <c r="C6" s="317"/>
      <c r="D6" s="317"/>
      <c r="E6" s="317"/>
      <c r="F6" s="317"/>
      <c r="G6" s="317"/>
      <c r="H6" s="317"/>
      <c r="I6" s="317"/>
      <c r="J6" s="317"/>
      <c r="K6" s="317"/>
      <c r="L6" s="317"/>
      <c r="M6" s="317"/>
      <c r="N6" s="317"/>
      <c r="O6" s="317"/>
      <c r="P6" s="317"/>
      <c r="Q6" s="317"/>
    </row>
    <row r="7" spans="1:17" ht="13.7" customHeight="1" x14ac:dyDescent="0.25">
      <c r="A7" s="231"/>
      <c r="B7" s="317"/>
      <c r="C7" s="317"/>
      <c r="D7" s="317"/>
      <c r="E7" s="317"/>
      <c r="F7" s="317"/>
      <c r="G7" s="317"/>
      <c r="H7" s="317"/>
      <c r="I7" s="317"/>
      <c r="J7" s="317"/>
      <c r="K7" s="317"/>
      <c r="L7" s="317"/>
      <c r="M7" s="317"/>
      <c r="N7" s="317"/>
      <c r="O7" s="317"/>
      <c r="P7" s="317"/>
      <c r="Q7" s="317"/>
    </row>
    <row r="8" spans="1:17" ht="13.7" customHeight="1" x14ac:dyDescent="0.25">
      <c r="A8" s="231"/>
      <c r="B8" s="317"/>
      <c r="C8" s="290" t="s">
        <v>1200</v>
      </c>
      <c r="D8" s="290" t="s">
        <v>1201</v>
      </c>
      <c r="E8" s="290" t="s">
        <v>1202</v>
      </c>
      <c r="F8" s="290" t="s">
        <v>1203</v>
      </c>
      <c r="G8" s="290" t="s">
        <v>1204</v>
      </c>
      <c r="H8" s="290" t="s">
        <v>1205</v>
      </c>
      <c r="I8" s="290" t="s">
        <v>1206</v>
      </c>
      <c r="J8" s="317"/>
      <c r="K8" s="317"/>
      <c r="L8" s="317"/>
      <c r="M8" s="317"/>
      <c r="N8" s="317"/>
      <c r="O8" s="317"/>
      <c r="P8" s="317"/>
      <c r="Q8" s="317"/>
    </row>
    <row r="9" spans="1:17" ht="13.7" customHeight="1" x14ac:dyDescent="0.25">
      <c r="A9" s="231"/>
      <c r="B9" s="317"/>
      <c r="C9" s="290" t="s">
        <v>590</v>
      </c>
      <c r="D9" s="290" t="s">
        <v>590</v>
      </c>
      <c r="E9" s="290" t="s">
        <v>590</v>
      </c>
      <c r="F9" s="290" t="s">
        <v>590</v>
      </c>
      <c r="G9" s="290" t="s">
        <v>590</v>
      </c>
      <c r="H9" s="290" t="s">
        <v>590</v>
      </c>
      <c r="I9" s="290" t="s">
        <v>590</v>
      </c>
      <c r="J9" s="317"/>
      <c r="K9" s="317"/>
      <c r="L9" s="317"/>
      <c r="M9" s="317"/>
      <c r="N9" s="317"/>
      <c r="O9" s="317"/>
      <c r="P9" s="317"/>
      <c r="Q9" s="317"/>
    </row>
    <row r="10" spans="1:17" ht="13.7" customHeight="1" x14ac:dyDescent="0.25">
      <c r="A10" s="231"/>
      <c r="B10" s="318" t="s">
        <v>1207</v>
      </c>
      <c r="C10" s="209"/>
      <c r="D10" s="209">
        <v>0</v>
      </c>
      <c r="E10" s="209">
        <v>0</v>
      </c>
      <c r="F10" s="209">
        <v>0</v>
      </c>
      <c r="G10" s="209">
        <v>0</v>
      </c>
      <c r="H10" s="209">
        <v>0</v>
      </c>
      <c r="I10" s="209">
        <v>0</v>
      </c>
      <c r="J10" s="317"/>
      <c r="K10" s="317"/>
      <c r="L10" s="317"/>
      <c r="M10" s="317"/>
      <c r="N10" s="317"/>
      <c r="O10" s="317"/>
      <c r="P10" s="317"/>
      <c r="Q10" s="317"/>
    </row>
    <row r="11" spans="1:17" ht="13.7" customHeight="1" x14ac:dyDescent="0.25">
      <c r="A11" s="231"/>
      <c r="B11" s="318" t="s">
        <v>1208</v>
      </c>
      <c r="C11" s="209">
        <v>0</v>
      </c>
      <c r="D11" s="209">
        <f t="shared" ref="D11:I11" si="0">C11+D10</f>
        <v>0</v>
      </c>
      <c r="E11" s="209">
        <f t="shared" si="0"/>
        <v>0</v>
      </c>
      <c r="F11" s="209">
        <f t="shared" si="0"/>
        <v>0</v>
      </c>
      <c r="G11" s="209">
        <f t="shared" si="0"/>
        <v>0</v>
      </c>
      <c r="H11" s="209">
        <f t="shared" si="0"/>
        <v>0</v>
      </c>
      <c r="I11" s="209">
        <f t="shared" si="0"/>
        <v>0</v>
      </c>
      <c r="J11" s="317"/>
      <c r="K11" s="317"/>
      <c r="L11" s="317"/>
      <c r="M11" s="317"/>
      <c r="N11" s="317"/>
      <c r="O11" s="317"/>
      <c r="P11" s="317"/>
      <c r="Q11" s="317"/>
    </row>
    <row r="12" spans="1:17" ht="13.7" customHeight="1" x14ac:dyDescent="0.25">
      <c r="A12" s="231"/>
      <c r="B12" s="318" t="s">
        <v>1209</v>
      </c>
      <c r="C12" s="209"/>
      <c r="D12" s="209">
        <v>0</v>
      </c>
      <c r="E12" s="209">
        <v>0</v>
      </c>
      <c r="F12" s="209">
        <v>0</v>
      </c>
      <c r="G12" s="209">
        <v>0</v>
      </c>
      <c r="H12" s="209">
        <v>0</v>
      </c>
      <c r="I12" s="209">
        <v>0</v>
      </c>
      <c r="J12" s="317"/>
      <c r="K12" s="317"/>
      <c r="L12" s="317"/>
      <c r="M12" s="317"/>
      <c r="N12" s="317"/>
      <c r="O12" s="317"/>
      <c r="P12" s="317"/>
      <c r="Q12" s="317"/>
    </row>
    <row r="13" spans="1:17" ht="13.7" customHeight="1" thickBot="1" x14ac:dyDescent="0.3">
      <c r="A13" s="231"/>
      <c r="B13" s="316" t="s">
        <v>1210</v>
      </c>
      <c r="C13" s="264"/>
      <c r="D13" s="254">
        <f>IFERROR(D11/D12,0)</f>
        <v>0</v>
      </c>
      <c r="E13" s="254">
        <f>IFERROR(E11/E12,0)</f>
        <v>0</v>
      </c>
      <c r="F13" s="254">
        <f>IFERROR(F11/F12,0)</f>
        <v>0</v>
      </c>
      <c r="G13" s="254">
        <f t="shared" ref="G13" si="1">IFERROR(G11/G12,0)</f>
        <v>0</v>
      </c>
      <c r="H13" s="254">
        <f>IFERROR(H11/H12,0)</f>
        <v>0</v>
      </c>
      <c r="I13" s="254">
        <f t="shared" ref="I13" si="2">IFERROR(I11/I12,0)</f>
        <v>0</v>
      </c>
      <c r="J13" s="317"/>
      <c r="K13" s="317"/>
      <c r="L13" s="317"/>
      <c r="M13" s="317"/>
      <c r="N13" s="317"/>
      <c r="O13" s="317"/>
      <c r="P13" s="317"/>
      <c r="Q13" s="317"/>
    </row>
    <row r="14" spans="1:17" s="288" customFormat="1" ht="13.7" customHeight="1" thickTop="1" x14ac:dyDescent="0.25">
      <c r="A14" s="231"/>
      <c r="B14" s="215"/>
      <c r="C14" s="317"/>
      <c r="D14" s="317"/>
      <c r="E14" s="317"/>
      <c r="F14" s="317"/>
      <c r="G14" s="317"/>
      <c r="H14" s="317"/>
      <c r="I14" s="317"/>
      <c r="J14" s="317"/>
      <c r="K14" s="317"/>
      <c r="L14" s="317"/>
      <c r="M14" s="317"/>
      <c r="N14" s="317"/>
      <c r="O14" s="317"/>
      <c r="P14" s="317"/>
      <c r="Q14" s="317"/>
    </row>
    <row r="15" spans="1:17" ht="13.7" customHeight="1" x14ac:dyDescent="0.25">
      <c r="A15" s="231"/>
      <c r="B15" s="317"/>
      <c r="C15" s="290" t="s">
        <v>1211</v>
      </c>
      <c r="D15" s="290" t="s">
        <v>1212</v>
      </c>
      <c r="E15" s="290" t="s">
        <v>1213</v>
      </c>
      <c r="F15" s="331" t="s">
        <v>1214</v>
      </c>
      <c r="G15" s="331" t="s">
        <v>805</v>
      </c>
      <c r="H15" s="290" t="str">
        <f>ComparativeFY</f>
        <v>2020/21</v>
      </c>
      <c r="I15" s="290" t="str">
        <f>CurrentFY</f>
        <v>2021/22</v>
      </c>
      <c r="J15" s="317"/>
      <c r="K15" s="317"/>
      <c r="L15" s="317"/>
      <c r="M15" s="317"/>
      <c r="N15" s="317"/>
      <c r="O15" s="317"/>
      <c r="P15" s="317"/>
      <c r="Q15" s="317"/>
    </row>
    <row r="16" spans="1:17" ht="13.7" customHeight="1" x14ac:dyDescent="0.25">
      <c r="A16" s="231"/>
      <c r="B16" s="317"/>
      <c r="C16" s="290" t="s">
        <v>590</v>
      </c>
      <c r="D16" s="290" t="s">
        <v>590</v>
      </c>
      <c r="E16" s="290" t="s">
        <v>590</v>
      </c>
      <c r="F16" s="290" t="s">
        <v>590</v>
      </c>
      <c r="G16" s="290" t="s">
        <v>590</v>
      </c>
      <c r="H16" s="290" t="s">
        <v>590</v>
      </c>
      <c r="I16" s="290" t="s">
        <v>590</v>
      </c>
      <c r="J16" s="317"/>
      <c r="K16" s="317"/>
      <c r="L16" s="317"/>
      <c r="M16" s="317"/>
      <c r="N16" s="317"/>
      <c r="O16" s="317"/>
      <c r="P16" s="317"/>
      <c r="Q16" s="317"/>
    </row>
    <row r="17" spans="1:17" ht="13.7" customHeight="1" x14ac:dyDescent="0.25">
      <c r="A17" s="231"/>
      <c r="B17" s="318" t="s">
        <v>1207</v>
      </c>
      <c r="C17" s="209">
        <v>0</v>
      </c>
      <c r="D17" s="209">
        <v>0</v>
      </c>
      <c r="E17" s="209">
        <v>0</v>
      </c>
      <c r="F17" s="209">
        <v>0</v>
      </c>
      <c r="G17" s="209">
        <v>0</v>
      </c>
      <c r="H17" s="209">
        <v>0</v>
      </c>
      <c r="I17" s="209">
        <v>0</v>
      </c>
      <c r="J17" s="317"/>
      <c r="K17" s="317"/>
      <c r="L17" s="317"/>
      <c r="M17" s="317"/>
      <c r="N17" s="317"/>
      <c r="O17" s="215"/>
      <c r="P17" s="317"/>
      <c r="Q17" s="317"/>
    </row>
    <row r="18" spans="1:17" ht="13.7" customHeight="1" x14ac:dyDescent="0.25">
      <c r="A18" s="231"/>
      <c r="B18" s="318" t="s">
        <v>1208</v>
      </c>
      <c r="C18" s="209">
        <f>I11+C17</f>
        <v>0</v>
      </c>
      <c r="D18" s="209">
        <f t="shared" ref="D18:I18" si="3">C18+D17</f>
        <v>0</v>
      </c>
      <c r="E18" s="209">
        <f t="shared" si="3"/>
        <v>0</v>
      </c>
      <c r="F18" s="209">
        <f t="shared" si="3"/>
        <v>0</v>
      </c>
      <c r="G18" s="209">
        <f t="shared" si="3"/>
        <v>0</v>
      </c>
      <c r="H18" s="209">
        <f t="shared" si="3"/>
        <v>0</v>
      </c>
      <c r="I18" s="209">
        <f t="shared" si="3"/>
        <v>0</v>
      </c>
      <c r="J18" s="317"/>
      <c r="K18" s="317"/>
      <c r="L18" s="317"/>
      <c r="M18" s="317"/>
      <c r="N18" s="317"/>
      <c r="O18" s="317"/>
      <c r="P18" s="317"/>
      <c r="Q18" s="317"/>
    </row>
    <row r="19" spans="1:17" ht="13.7" customHeight="1" x14ac:dyDescent="0.25">
      <c r="A19" s="231"/>
      <c r="B19" s="318" t="s">
        <v>1209</v>
      </c>
      <c r="C19" s="209">
        <v>0</v>
      </c>
      <c r="D19" s="209">
        <v>0</v>
      </c>
      <c r="E19" s="209">
        <v>0</v>
      </c>
      <c r="F19" s="209">
        <v>0</v>
      </c>
      <c r="G19" s="209">
        <v>0</v>
      </c>
      <c r="H19" s="209">
        <v>0</v>
      </c>
      <c r="I19" s="209">
        <v>0</v>
      </c>
      <c r="J19" s="317"/>
      <c r="K19" s="317"/>
      <c r="L19" s="317"/>
      <c r="M19" s="317"/>
      <c r="N19" s="317"/>
      <c r="O19" s="317"/>
      <c r="P19" s="317"/>
      <c r="Q19" s="317"/>
    </row>
    <row r="20" spans="1:17" ht="13.7" customHeight="1" thickBot="1" x14ac:dyDescent="0.3">
      <c r="A20" s="231"/>
      <c r="B20" s="316" t="s">
        <v>1210</v>
      </c>
      <c r="C20" s="254">
        <f>IFERROR(C18/C19,0)</f>
        <v>0</v>
      </c>
      <c r="D20" s="254">
        <f>IFERROR(D18/D19,0)</f>
        <v>0</v>
      </c>
      <c r="E20" s="254">
        <f>IFERROR(E18/E19,0)</f>
        <v>0</v>
      </c>
      <c r="F20" s="254">
        <f>IFERROR(F18/F19,0)</f>
        <v>0</v>
      </c>
      <c r="G20" s="254">
        <f>IFERROR(G18/G19,0)</f>
        <v>0</v>
      </c>
      <c r="H20" s="254">
        <f t="shared" ref="H20:I20" si="4">IFERROR(H18/H19,0)</f>
        <v>0</v>
      </c>
      <c r="I20" s="254">
        <f t="shared" si="4"/>
        <v>0</v>
      </c>
      <c r="J20" s="317"/>
      <c r="K20" s="317"/>
      <c r="L20" s="317"/>
      <c r="M20" s="317"/>
      <c r="N20" s="317"/>
      <c r="O20" s="317"/>
      <c r="P20" s="317"/>
      <c r="Q20" s="317"/>
    </row>
    <row r="21" spans="1:17" ht="13.7" customHeight="1" thickTop="1" x14ac:dyDescent="0.25">
      <c r="A21" s="231"/>
      <c r="B21" s="317"/>
      <c r="C21" s="317"/>
      <c r="D21" s="317"/>
      <c r="E21" s="317"/>
      <c r="F21" s="317"/>
      <c r="G21" s="317"/>
      <c r="H21" s="317"/>
      <c r="I21" s="317"/>
      <c r="J21" s="317"/>
      <c r="K21" s="317"/>
      <c r="L21" s="317"/>
      <c r="M21" s="317"/>
      <c r="N21" s="317"/>
      <c r="O21" s="317"/>
      <c r="P21" s="317"/>
      <c r="Q21" s="317"/>
    </row>
    <row r="22" spans="1:17" ht="13.7" customHeight="1" x14ac:dyDescent="0.25">
      <c r="A22" s="231"/>
      <c r="B22" s="317"/>
      <c r="C22" s="317"/>
      <c r="D22" s="317"/>
      <c r="E22" s="317"/>
      <c r="F22" s="317"/>
      <c r="G22" s="317"/>
      <c r="H22" s="317"/>
      <c r="I22" s="317"/>
      <c r="J22" s="317"/>
      <c r="K22" s="317"/>
      <c r="L22" s="317"/>
      <c r="M22" s="317"/>
      <c r="N22" s="317"/>
      <c r="O22" s="317"/>
      <c r="P22" s="317"/>
      <c r="Q22" s="317"/>
    </row>
  </sheetData>
  <pageMargins left="0.7" right="0.7" top="0.75" bottom="0.75" header="0.3" footer="0.3"/>
  <pageSetup paperSize="9" orientation="landscape" verticalDpi="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5">
    <tabColor rgb="FFFFFF99"/>
  </sheetPr>
  <dimension ref="A1:O105"/>
  <sheetViews>
    <sheetView showGridLines="0" zoomScale="90" zoomScaleNormal="90" workbookViewId="0">
      <selection activeCell="B3" sqref="B3:I7"/>
    </sheetView>
  </sheetViews>
  <sheetFormatPr defaultColWidth="9.140625" defaultRowHeight="14.1" customHeight="1" x14ac:dyDescent="0.2"/>
  <cols>
    <col min="1" max="1" width="1" style="38" customWidth="1"/>
    <col min="2" max="2" width="41.85546875" style="129" customWidth="1"/>
    <col min="3" max="3" width="10.42578125" style="22" customWidth="1"/>
    <col min="4" max="4" width="0.85546875" style="22" customWidth="1"/>
    <col min="5" max="5" width="9.85546875" style="22" customWidth="1"/>
    <col min="6" max="6" width="0.85546875" style="22" customWidth="1"/>
    <col min="7" max="7" width="10.42578125" style="22" customWidth="1"/>
    <col min="8" max="8" width="0.85546875" style="22" customWidth="1"/>
    <col min="9" max="9" width="10.7109375" style="22" customWidth="1"/>
    <col min="10" max="11" width="9.140625" style="22"/>
    <col min="12" max="16384" width="9.140625" style="129"/>
  </cols>
  <sheetData>
    <row r="1" spans="1:15" s="313" customFormat="1" ht="14.1" customHeight="1" x14ac:dyDescent="0.2">
      <c r="A1" s="350" t="s">
        <v>1310</v>
      </c>
      <c r="B1" s="351"/>
      <c r="C1" s="351"/>
      <c r="D1" s="351"/>
      <c r="E1" s="351"/>
      <c r="F1" s="351"/>
      <c r="G1" s="314"/>
      <c r="H1" s="314"/>
      <c r="I1" s="314"/>
      <c r="J1" s="314"/>
      <c r="K1" s="314"/>
    </row>
    <row r="2" spans="1:15" s="313" customFormat="1" ht="14.1" customHeight="1" x14ac:dyDescent="0.2">
      <c r="A2" s="205"/>
      <c r="C2" s="314"/>
      <c r="D2" s="314"/>
      <c r="E2" s="314"/>
      <c r="F2" s="314"/>
      <c r="G2" s="314"/>
      <c r="H2" s="314"/>
      <c r="I2" s="314"/>
      <c r="J2" s="314"/>
      <c r="K2" s="314"/>
    </row>
    <row r="3" spans="1:15" ht="14.1" customHeight="1" x14ac:dyDescent="0.2">
      <c r="A3" s="205"/>
      <c r="B3" s="473" t="s">
        <v>1215</v>
      </c>
      <c r="C3" s="473"/>
      <c r="D3" s="473"/>
      <c r="E3" s="473"/>
      <c r="F3" s="473"/>
      <c r="G3" s="473"/>
      <c r="H3" s="473"/>
      <c r="I3" s="473"/>
      <c r="J3" s="314"/>
      <c r="K3" s="314"/>
      <c r="L3" s="313"/>
      <c r="M3" s="313"/>
      <c r="N3" s="313"/>
      <c r="O3" s="313"/>
    </row>
    <row r="4" spans="1:15" ht="14.1" customHeight="1" x14ac:dyDescent="0.2">
      <c r="A4" s="205"/>
      <c r="B4" s="473"/>
      <c r="C4" s="473"/>
      <c r="D4" s="473"/>
      <c r="E4" s="473"/>
      <c r="F4" s="473"/>
      <c r="G4" s="473"/>
      <c r="H4" s="473"/>
      <c r="I4" s="473"/>
      <c r="J4" s="314"/>
      <c r="K4" s="314"/>
      <c r="L4" s="313"/>
      <c r="M4" s="313"/>
      <c r="N4" s="313"/>
      <c r="O4" s="313"/>
    </row>
    <row r="5" spans="1:15" ht="14.1" customHeight="1" x14ac:dyDescent="0.2">
      <c r="A5" s="205"/>
      <c r="B5" s="473"/>
      <c r="C5" s="473"/>
      <c r="D5" s="473"/>
      <c r="E5" s="473"/>
      <c r="F5" s="473"/>
      <c r="G5" s="473"/>
      <c r="H5" s="473"/>
      <c r="I5" s="473"/>
      <c r="J5" s="314"/>
      <c r="K5" s="314"/>
      <c r="L5" s="313"/>
      <c r="M5" s="313"/>
      <c r="N5" s="313"/>
      <c r="O5" s="313"/>
    </row>
    <row r="6" spans="1:15" ht="14.1" customHeight="1" x14ac:dyDescent="0.2">
      <c r="A6" s="205"/>
      <c r="B6" s="473"/>
      <c r="C6" s="473"/>
      <c r="D6" s="473"/>
      <c r="E6" s="473"/>
      <c r="F6" s="473"/>
      <c r="G6" s="473"/>
      <c r="H6" s="473"/>
      <c r="I6" s="473"/>
      <c r="J6" s="314"/>
      <c r="K6" s="314"/>
      <c r="L6" s="313"/>
      <c r="M6" s="313"/>
      <c r="N6" s="313"/>
      <c r="O6" s="313"/>
    </row>
    <row r="7" spans="1:15" ht="14.1" customHeight="1" x14ac:dyDescent="0.2">
      <c r="A7" s="205"/>
      <c r="B7" s="473"/>
      <c r="C7" s="473"/>
      <c r="D7" s="473"/>
      <c r="E7" s="473"/>
      <c r="F7" s="473"/>
      <c r="G7" s="473"/>
      <c r="H7" s="473"/>
      <c r="I7" s="473"/>
      <c r="J7" s="314"/>
      <c r="K7" s="314"/>
      <c r="L7" s="313"/>
      <c r="M7" s="313"/>
      <c r="N7" s="313"/>
      <c r="O7" s="313"/>
    </row>
    <row r="8" spans="1:15" s="139" customFormat="1" ht="14.1" customHeight="1" x14ac:dyDescent="0.2">
      <c r="A8" s="205"/>
      <c r="B8" s="319"/>
      <c r="C8" s="319"/>
      <c r="D8" s="319"/>
      <c r="E8" s="319"/>
      <c r="F8" s="319"/>
      <c r="G8" s="319"/>
      <c r="H8" s="319"/>
      <c r="I8" s="319"/>
      <c r="J8" s="314"/>
      <c r="K8" s="314"/>
      <c r="L8" s="313"/>
      <c r="M8" s="313"/>
      <c r="N8" s="313"/>
      <c r="O8" s="313"/>
    </row>
    <row r="9" spans="1:15" s="139" customFormat="1" ht="14.1" customHeight="1" x14ac:dyDescent="0.2">
      <c r="A9" s="205"/>
      <c r="B9" s="316" t="s">
        <v>1216</v>
      </c>
      <c r="C9" s="315"/>
      <c r="D9" s="315"/>
      <c r="E9" s="315"/>
      <c r="F9" s="315"/>
      <c r="G9" s="315"/>
      <c r="H9" s="315"/>
      <c r="I9" s="315"/>
      <c r="J9" s="314"/>
      <c r="K9" s="314"/>
      <c r="L9" s="313"/>
      <c r="M9" s="313"/>
      <c r="N9" s="313"/>
      <c r="O9" s="313"/>
    </row>
    <row r="10" spans="1:15" s="139" customFormat="1" ht="14.1" customHeight="1" x14ac:dyDescent="0.2">
      <c r="A10" s="205"/>
      <c r="B10" s="313"/>
      <c r="C10" s="460" t="s">
        <v>500</v>
      </c>
      <c r="D10" s="460"/>
      <c r="E10" s="460"/>
      <c r="F10" s="460"/>
      <c r="G10" s="460"/>
      <c r="H10" s="460"/>
      <c r="I10" s="460"/>
      <c r="J10" s="314"/>
      <c r="K10" s="314"/>
      <c r="L10" s="313"/>
      <c r="M10" s="313"/>
      <c r="N10" s="313"/>
      <c r="O10" s="313"/>
    </row>
    <row r="11" spans="1:15" s="139" customFormat="1" ht="14.1" customHeight="1" x14ac:dyDescent="0.2">
      <c r="A11" s="205"/>
      <c r="B11" s="319"/>
      <c r="C11" s="331"/>
      <c r="D11" s="331"/>
      <c r="E11" s="331"/>
      <c r="F11" s="331"/>
      <c r="G11" s="331" t="str">
        <f>CurrentFY</f>
        <v>2021/22</v>
      </c>
      <c r="H11" s="331"/>
      <c r="I11" s="331" t="str">
        <f>ComparativeFY</f>
        <v>2020/21</v>
      </c>
      <c r="J11" s="314"/>
      <c r="K11" s="314"/>
      <c r="L11" s="313"/>
      <c r="M11" s="313"/>
      <c r="N11" s="313"/>
      <c r="O11" s="313"/>
    </row>
    <row r="12" spans="1:15" s="139" customFormat="1" ht="14.1" customHeight="1" x14ac:dyDescent="0.2">
      <c r="A12" s="205"/>
      <c r="B12" s="319"/>
      <c r="C12" s="331" t="s">
        <v>1217</v>
      </c>
      <c r="D12" s="331"/>
      <c r="E12" s="331" t="s">
        <v>860</v>
      </c>
      <c r="F12" s="331"/>
      <c r="G12" s="331" t="s">
        <v>589</v>
      </c>
      <c r="H12" s="331"/>
      <c r="I12" s="331" t="s">
        <v>589</v>
      </c>
      <c r="J12" s="314"/>
      <c r="K12" s="314"/>
      <c r="L12" s="313"/>
      <c r="M12" s="313"/>
      <c r="N12" s="313"/>
      <c r="O12" s="313"/>
    </row>
    <row r="13" spans="1:15" s="139" customFormat="1" ht="14.1" customHeight="1" x14ac:dyDescent="0.2">
      <c r="A13" s="205"/>
      <c r="B13" s="319"/>
      <c r="C13" s="290" t="s">
        <v>590</v>
      </c>
      <c r="D13" s="319"/>
      <c r="E13" s="290" t="s">
        <v>590</v>
      </c>
      <c r="F13" s="319"/>
      <c r="G13" s="290" t="s">
        <v>590</v>
      </c>
      <c r="H13" s="319"/>
      <c r="I13" s="290" t="s">
        <v>590</v>
      </c>
      <c r="J13" s="314"/>
      <c r="K13" s="314"/>
      <c r="L13" s="313"/>
      <c r="M13" s="313"/>
      <c r="N13" s="313"/>
      <c r="O13" s="313"/>
    </row>
    <row r="14" spans="1:15" s="139" customFormat="1" ht="14.1" customHeight="1" x14ac:dyDescent="0.2">
      <c r="A14" s="205"/>
      <c r="B14" s="327" t="s">
        <v>880</v>
      </c>
      <c r="C14" s="219">
        <v>104109</v>
      </c>
      <c r="D14" s="219"/>
      <c r="E14" s="219">
        <v>0</v>
      </c>
      <c r="F14" s="199"/>
      <c r="G14" s="220">
        <f>SUM(C14:E14)</f>
        <v>104109</v>
      </c>
      <c r="H14" s="203"/>
      <c r="I14" s="219">
        <v>99202</v>
      </c>
      <c r="J14" s="314"/>
      <c r="K14" s="314"/>
      <c r="L14" s="313"/>
      <c r="M14" s="313"/>
      <c r="N14" s="313"/>
      <c r="O14" s="313"/>
    </row>
    <row r="15" spans="1:15" s="139" customFormat="1" ht="14.1" customHeight="1" x14ac:dyDescent="0.2">
      <c r="A15" s="205"/>
      <c r="B15" s="327" t="s">
        <v>881</v>
      </c>
      <c r="C15" s="219">
        <v>10644</v>
      </c>
      <c r="D15" s="219"/>
      <c r="E15" s="219">
        <v>0</v>
      </c>
      <c r="F15" s="199"/>
      <c r="G15" s="220">
        <f t="shared" ref="G15:G23" si="0">SUM(C15:E15)</f>
        <v>10644</v>
      </c>
      <c r="H15" s="203"/>
      <c r="I15" s="219">
        <v>10026</v>
      </c>
      <c r="J15" s="314"/>
      <c r="K15" s="314"/>
      <c r="L15" s="313"/>
      <c r="M15" s="313"/>
      <c r="N15" s="313"/>
      <c r="O15" s="126"/>
    </row>
    <row r="16" spans="1:15" s="148" customFormat="1" ht="14.1" customHeight="1" x14ac:dyDescent="0.2">
      <c r="A16" s="205"/>
      <c r="B16" s="327" t="s">
        <v>882</v>
      </c>
      <c r="C16" s="219">
        <v>511</v>
      </c>
      <c r="D16" s="219"/>
      <c r="E16" s="219">
        <v>0</v>
      </c>
      <c r="F16" s="199"/>
      <c r="G16" s="220">
        <f t="shared" si="0"/>
        <v>511</v>
      </c>
      <c r="H16" s="203"/>
      <c r="I16" s="219">
        <v>448</v>
      </c>
      <c r="J16" s="314"/>
      <c r="K16" s="314"/>
      <c r="L16" s="313"/>
      <c r="M16" s="313"/>
      <c r="N16" s="313"/>
      <c r="O16" s="313"/>
    </row>
    <row r="17" spans="1:15" s="139" customFormat="1" ht="14.1" customHeight="1" x14ac:dyDescent="0.2">
      <c r="A17" s="205"/>
      <c r="B17" s="327" t="s">
        <v>1218</v>
      </c>
      <c r="C17" s="219">
        <v>16624</v>
      </c>
      <c r="D17" s="219"/>
      <c r="E17" s="219">
        <v>0</v>
      </c>
      <c r="F17" s="199"/>
      <c r="G17" s="220">
        <f t="shared" si="0"/>
        <v>16624</v>
      </c>
      <c r="H17" s="203"/>
      <c r="I17" s="219">
        <v>15991</v>
      </c>
      <c r="J17" s="314"/>
      <c r="K17" s="314"/>
      <c r="L17" s="313"/>
      <c r="M17" s="313"/>
      <c r="N17" s="313"/>
      <c r="O17" s="313"/>
    </row>
    <row r="18" spans="1:15" s="139" customFormat="1" ht="14.1" customHeight="1" x14ac:dyDescent="0.2">
      <c r="A18" s="205"/>
      <c r="B18" s="327" t="s">
        <v>884</v>
      </c>
      <c r="C18" s="219">
        <v>0</v>
      </c>
      <c r="D18" s="219"/>
      <c r="E18" s="219">
        <v>12</v>
      </c>
      <c r="F18" s="199"/>
      <c r="G18" s="220">
        <f t="shared" si="0"/>
        <v>12</v>
      </c>
      <c r="H18" s="203"/>
      <c r="I18" s="219">
        <v>10</v>
      </c>
      <c r="J18" s="314"/>
      <c r="K18" s="314"/>
      <c r="L18" s="313"/>
      <c r="M18" s="313"/>
      <c r="N18" s="313"/>
      <c r="O18" s="313"/>
    </row>
    <row r="19" spans="1:15" s="139" customFormat="1" ht="14.1" customHeight="1" x14ac:dyDescent="0.2">
      <c r="A19" s="205"/>
      <c r="B19" s="327" t="s">
        <v>885</v>
      </c>
      <c r="C19" s="219">
        <v>0</v>
      </c>
      <c r="D19" s="219"/>
      <c r="E19" s="219">
        <v>0</v>
      </c>
      <c r="F19" s="199"/>
      <c r="G19" s="220">
        <f t="shared" si="0"/>
        <v>0</v>
      </c>
      <c r="H19" s="203"/>
      <c r="I19" s="219">
        <v>0</v>
      </c>
      <c r="J19" s="314"/>
      <c r="K19" s="314"/>
      <c r="L19" s="313"/>
      <c r="M19" s="313"/>
    </row>
    <row r="20" spans="1:15" s="139" customFormat="1" ht="14.1" customHeight="1" x14ac:dyDescent="0.2">
      <c r="A20" s="205"/>
      <c r="B20" s="327" t="s">
        <v>886</v>
      </c>
      <c r="C20" s="219">
        <v>0</v>
      </c>
      <c r="D20" s="219"/>
      <c r="E20" s="219">
        <v>0</v>
      </c>
      <c r="F20" s="199"/>
      <c r="G20" s="220">
        <f t="shared" si="0"/>
        <v>0</v>
      </c>
      <c r="H20" s="203"/>
      <c r="I20" s="219">
        <v>0</v>
      </c>
      <c r="J20" s="314"/>
      <c r="K20" s="314"/>
      <c r="L20" s="313"/>
      <c r="M20" s="313"/>
    </row>
    <row r="21" spans="1:15" s="139" customFormat="1" ht="14.1" customHeight="1" x14ac:dyDescent="0.2">
      <c r="A21" s="205"/>
      <c r="B21" s="327" t="s">
        <v>887</v>
      </c>
      <c r="C21" s="219">
        <v>0</v>
      </c>
      <c r="D21" s="219"/>
      <c r="E21" s="219">
        <v>0</v>
      </c>
      <c r="F21" s="199"/>
      <c r="G21" s="220">
        <f t="shared" si="0"/>
        <v>0</v>
      </c>
      <c r="H21" s="203"/>
      <c r="I21" s="219">
        <v>0</v>
      </c>
      <c r="J21" s="314"/>
      <c r="K21" s="314"/>
      <c r="L21" s="313"/>
      <c r="M21" s="313"/>
    </row>
    <row r="22" spans="1:15" s="139" customFormat="1" ht="14.1" customHeight="1" x14ac:dyDescent="0.2">
      <c r="A22" s="205"/>
      <c r="B22" s="327" t="s">
        <v>1219</v>
      </c>
      <c r="C22" s="219">
        <v>0</v>
      </c>
      <c r="D22" s="219"/>
      <c r="E22" s="219">
        <v>14303</v>
      </c>
      <c r="F22" s="199"/>
      <c r="G22" s="220">
        <f t="shared" si="0"/>
        <v>14303</v>
      </c>
      <c r="H22" s="219"/>
      <c r="I22" s="219">
        <v>7650</v>
      </c>
      <c r="J22" s="314"/>
      <c r="K22" s="314"/>
      <c r="L22" s="313"/>
      <c r="M22" s="313"/>
    </row>
    <row r="23" spans="1:15" s="169" customFormat="1" ht="14.1" customHeight="1" x14ac:dyDescent="0.2">
      <c r="A23" s="205"/>
      <c r="B23" s="327" t="s">
        <v>889</v>
      </c>
      <c r="C23" s="219">
        <v>0</v>
      </c>
      <c r="D23" s="203"/>
      <c r="E23" s="219">
        <v>0</v>
      </c>
      <c r="F23" s="203"/>
      <c r="G23" s="220">
        <f t="shared" si="0"/>
        <v>0</v>
      </c>
      <c r="H23" s="203"/>
      <c r="I23" s="219">
        <v>0</v>
      </c>
      <c r="J23" s="314"/>
      <c r="K23" s="314"/>
      <c r="L23" s="313"/>
      <c r="M23" s="313"/>
    </row>
    <row r="24" spans="1:15" s="139" customFormat="1" ht="14.1" customHeight="1" x14ac:dyDescent="0.25">
      <c r="A24" s="205"/>
      <c r="B24" s="289" t="s">
        <v>890</v>
      </c>
      <c r="C24" s="207">
        <f>SUM(C14:C23)</f>
        <v>131888</v>
      </c>
      <c r="D24" s="317"/>
      <c r="E24" s="207">
        <f>SUM(E14:E23)</f>
        <v>14315</v>
      </c>
      <c r="F24" s="317"/>
      <c r="G24" s="207">
        <f>SUM(G14:G23)</f>
        <v>146203</v>
      </c>
      <c r="H24" s="317"/>
      <c r="I24" s="207">
        <f>SUM(I14:I23)</f>
        <v>133327</v>
      </c>
      <c r="J24" s="314"/>
      <c r="K24" s="314"/>
      <c r="L24" s="313"/>
      <c r="M24" s="313"/>
    </row>
    <row r="25" spans="1:15" s="139" customFormat="1" ht="14.1" customHeight="1" x14ac:dyDescent="0.25">
      <c r="A25" s="205"/>
      <c r="B25" s="327" t="s">
        <v>891</v>
      </c>
      <c r="C25" s="219">
        <v>0</v>
      </c>
      <c r="D25" s="317"/>
      <c r="E25" s="219">
        <v>0</v>
      </c>
      <c r="F25" s="317"/>
      <c r="G25" s="220">
        <f>SUM(C25:E25)</f>
        <v>0</v>
      </c>
      <c r="H25" s="317"/>
      <c r="I25" s="219">
        <v>0</v>
      </c>
      <c r="J25" s="314"/>
      <c r="K25" s="314"/>
      <c r="L25" s="313"/>
      <c r="M25" s="313"/>
    </row>
    <row r="26" spans="1:15" s="139" customFormat="1" ht="14.1" customHeight="1" thickBot="1" x14ac:dyDescent="0.3">
      <c r="A26" s="205"/>
      <c r="B26" s="289" t="s">
        <v>892</v>
      </c>
      <c r="C26" s="206">
        <f>SUM(C24:C25)</f>
        <v>131888</v>
      </c>
      <c r="D26" s="317"/>
      <c r="E26" s="206">
        <f>SUM(E24:E25)</f>
        <v>14315</v>
      </c>
      <c r="F26" s="317"/>
      <c r="G26" s="206">
        <f>SUM(G24:G25)</f>
        <v>146203</v>
      </c>
      <c r="H26" s="317"/>
      <c r="I26" s="206">
        <f>SUM(I24:I25)</f>
        <v>133327</v>
      </c>
      <c r="J26" s="314"/>
      <c r="K26" s="314"/>
      <c r="L26" s="313"/>
      <c r="M26" s="313"/>
    </row>
    <row r="27" spans="1:15" s="139" customFormat="1" ht="14.1" customHeight="1" thickTop="1" x14ac:dyDescent="0.25">
      <c r="A27" s="205"/>
      <c r="B27" s="289" t="s">
        <v>893</v>
      </c>
      <c r="C27" s="199"/>
      <c r="D27" s="317"/>
      <c r="E27" s="199"/>
      <c r="F27" s="317"/>
      <c r="G27" s="187"/>
      <c r="H27" s="317"/>
      <c r="I27" s="199"/>
      <c r="J27" s="314"/>
      <c r="K27" s="314"/>
      <c r="L27" s="313"/>
      <c r="M27" s="313"/>
    </row>
    <row r="28" spans="1:15" s="139" customFormat="1" ht="14.1" customHeight="1" x14ac:dyDescent="0.25">
      <c r="A28" s="205"/>
      <c r="B28" s="327" t="s">
        <v>894</v>
      </c>
      <c r="C28" s="219">
        <v>0</v>
      </c>
      <c r="D28" s="317"/>
      <c r="E28" s="219">
        <v>357</v>
      </c>
      <c r="F28" s="317"/>
      <c r="G28" s="220">
        <f>SUM(C28:E28)</f>
        <v>357</v>
      </c>
      <c r="H28" s="317"/>
      <c r="I28" s="219">
        <v>91</v>
      </c>
      <c r="J28" s="314"/>
      <c r="K28" s="314"/>
      <c r="L28" s="313"/>
      <c r="M28" s="313"/>
    </row>
    <row r="29" spans="1:15" s="139" customFormat="1" ht="14.1" customHeight="1" x14ac:dyDescent="0.2">
      <c r="A29" s="205"/>
      <c r="B29" s="319"/>
      <c r="C29" s="319"/>
      <c r="D29" s="319"/>
      <c r="E29" s="319"/>
      <c r="F29" s="319"/>
      <c r="G29" s="319"/>
      <c r="H29" s="319"/>
      <c r="I29" s="319"/>
      <c r="J29" s="314"/>
      <c r="K29" s="314"/>
      <c r="L29" s="313"/>
      <c r="M29" s="313"/>
    </row>
    <row r="30" spans="1:15" s="139" customFormat="1" ht="14.1" customHeight="1" x14ac:dyDescent="0.2">
      <c r="A30" s="205"/>
      <c r="B30" s="316" t="s">
        <v>1220</v>
      </c>
      <c r="C30" s="319"/>
      <c r="D30" s="319"/>
      <c r="E30" s="319"/>
      <c r="F30" s="319"/>
      <c r="G30" s="319"/>
      <c r="H30" s="319"/>
      <c r="I30" s="319"/>
      <c r="J30" s="314"/>
      <c r="K30" s="314"/>
      <c r="L30" s="313"/>
      <c r="M30" s="313"/>
    </row>
    <row r="31" spans="1:15" ht="14.1" customHeight="1" x14ac:dyDescent="0.2">
      <c r="A31" s="205"/>
      <c r="B31" s="313"/>
      <c r="C31" s="460" t="s">
        <v>500</v>
      </c>
      <c r="D31" s="460"/>
      <c r="E31" s="460"/>
      <c r="F31" s="460"/>
      <c r="G31" s="460"/>
      <c r="H31" s="460"/>
      <c r="I31" s="460"/>
      <c r="J31" s="314"/>
      <c r="K31" s="314"/>
      <c r="L31" s="313"/>
      <c r="M31" s="313"/>
    </row>
    <row r="32" spans="1:15" ht="14.1" customHeight="1" x14ac:dyDescent="0.2">
      <c r="A32" s="205"/>
      <c r="B32" s="19"/>
      <c r="C32" s="331"/>
      <c r="D32" s="331"/>
      <c r="E32" s="331"/>
      <c r="F32" s="331"/>
      <c r="G32" s="331" t="str">
        <f>CurrentFY</f>
        <v>2021/22</v>
      </c>
      <c r="H32" s="331"/>
      <c r="I32" s="331" t="str">
        <f>ComparativeFY</f>
        <v>2020/21</v>
      </c>
      <c r="J32" s="314"/>
      <c r="K32" s="314"/>
      <c r="L32" s="313"/>
      <c r="M32" s="313"/>
    </row>
    <row r="33" spans="1:13" ht="14.1" customHeight="1" x14ac:dyDescent="0.2">
      <c r="A33" s="205"/>
      <c r="B33" s="313"/>
      <c r="C33" s="331" t="s">
        <v>1217</v>
      </c>
      <c r="D33" s="331"/>
      <c r="E33" s="331" t="s">
        <v>860</v>
      </c>
      <c r="F33" s="331"/>
      <c r="G33" s="331" t="s">
        <v>589</v>
      </c>
      <c r="H33" s="331"/>
      <c r="I33" s="331" t="s">
        <v>589</v>
      </c>
      <c r="J33" s="314"/>
      <c r="K33" s="314"/>
      <c r="L33" s="313"/>
      <c r="M33" s="313"/>
    </row>
    <row r="34" spans="1:13" ht="14.1" customHeight="1" x14ac:dyDescent="0.2">
      <c r="A34" s="205"/>
      <c r="B34" s="313"/>
      <c r="C34" s="331" t="s">
        <v>1171</v>
      </c>
      <c r="D34" s="331"/>
      <c r="E34" s="331" t="s">
        <v>1171</v>
      </c>
      <c r="F34" s="331"/>
      <c r="G34" s="331" t="s">
        <v>1171</v>
      </c>
      <c r="H34" s="331"/>
      <c r="I34" s="331" t="s">
        <v>1171</v>
      </c>
      <c r="J34" s="314"/>
      <c r="K34" s="314"/>
      <c r="L34" s="313"/>
      <c r="M34" s="313"/>
    </row>
    <row r="35" spans="1:13" ht="14.1" customHeight="1" x14ac:dyDescent="0.2">
      <c r="A35" s="205"/>
      <c r="B35" s="327" t="s">
        <v>1221</v>
      </c>
      <c r="C35" s="209">
        <v>338.34</v>
      </c>
      <c r="D35" s="209"/>
      <c r="E35" s="209">
        <v>3.31</v>
      </c>
      <c r="F35" s="212"/>
      <c r="G35" s="210">
        <f>SUM(C35:E35)</f>
        <v>341.65</v>
      </c>
      <c r="H35" s="135"/>
      <c r="I35" s="209">
        <v>355</v>
      </c>
      <c r="J35" s="314"/>
      <c r="K35" s="314"/>
    </row>
    <row r="36" spans="1:13" ht="14.1" customHeight="1" x14ac:dyDescent="0.2">
      <c r="A36" s="205"/>
      <c r="B36" s="327" t="s">
        <v>1222</v>
      </c>
      <c r="C36" s="209">
        <v>0</v>
      </c>
      <c r="D36" s="209"/>
      <c r="E36" s="209">
        <v>0</v>
      </c>
      <c r="F36" s="212"/>
      <c r="G36" s="210">
        <f t="shared" ref="G36:G43" si="1">SUM(C36:E36)</f>
        <v>0</v>
      </c>
      <c r="H36" s="135"/>
      <c r="I36" s="209">
        <v>0</v>
      </c>
      <c r="J36" s="314"/>
      <c r="K36" s="314"/>
    </row>
    <row r="37" spans="1:13" ht="14.1" customHeight="1" x14ac:dyDescent="0.2">
      <c r="A37" s="205"/>
      <c r="B37" s="327" t="s">
        <v>1223</v>
      </c>
      <c r="C37" s="209">
        <v>393.59000000000003</v>
      </c>
      <c r="D37" s="209"/>
      <c r="E37" s="209">
        <v>131.66</v>
      </c>
      <c r="F37" s="212"/>
      <c r="G37" s="210">
        <f t="shared" si="1"/>
        <v>525.25</v>
      </c>
      <c r="H37" s="135"/>
      <c r="I37" s="209">
        <v>857</v>
      </c>
      <c r="J37" s="314"/>
      <c r="K37" s="314"/>
    </row>
    <row r="38" spans="1:13" ht="14.1" customHeight="1" x14ac:dyDescent="0.2">
      <c r="A38" s="205"/>
      <c r="B38" s="327" t="s">
        <v>1224</v>
      </c>
      <c r="C38" s="209">
        <v>676.18</v>
      </c>
      <c r="D38" s="209"/>
      <c r="E38" s="209">
        <v>27.31</v>
      </c>
      <c r="F38" s="212"/>
      <c r="G38" s="210">
        <f t="shared" si="1"/>
        <v>703.4899999999999</v>
      </c>
      <c r="H38" s="135"/>
      <c r="I38" s="209">
        <v>309</v>
      </c>
      <c r="J38" s="314"/>
      <c r="K38" s="314"/>
    </row>
    <row r="39" spans="1:13" ht="14.1" customHeight="1" x14ac:dyDescent="0.2">
      <c r="A39" s="205"/>
      <c r="B39" s="327" t="s">
        <v>1225</v>
      </c>
      <c r="C39" s="209">
        <v>410.64</v>
      </c>
      <c r="D39" s="209"/>
      <c r="E39" s="209">
        <v>60.010000000000005</v>
      </c>
      <c r="F39" s="212"/>
      <c r="G39" s="210">
        <f t="shared" si="1"/>
        <v>470.65</v>
      </c>
      <c r="H39" s="135"/>
      <c r="I39" s="209">
        <v>454</v>
      </c>
      <c r="J39" s="314"/>
      <c r="K39" s="314"/>
    </row>
    <row r="40" spans="1:13" ht="14.1" customHeight="1" x14ac:dyDescent="0.2">
      <c r="A40" s="205"/>
      <c r="B40" s="327" t="s">
        <v>1226</v>
      </c>
      <c r="C40" s="209">
        <v>0</v>
      </c>
      <c r="D40" s="209"/>
      <c r="E40" s="209">
        <v>0</v>
      </c>
      <c r="F40" s="212"/>
      <c r="G40" s="210">
        <f t="shared" si="1"/>
        <v>0</v>
      </c>
      <c r="H40" s="135"/>
      <c r="I40" s="209">
        <v>0</v>
      </c>
      <c r="J40" s="314"/>
      <c r="K40" s="314"/>
    </row>
    <row r="41" spans="1:13" ht="14.1" customHeight="1" x14ac:dyDescent="0.2">
      <c r="A41" s="205"/>
      <c r="B41" s="327" t="s">
        <v>1227</v>
      </c>
      <c r="C41" s="209">
        <v>225.91000000000003</v>
      </c>
      <c r="D41" s="209"/>
      <c r="E41" s="209">
        <v>8.19</v>
      </c>
      <c r="F41" s="212"/>
      <c r="G41" s="210">
        <f t="shared" si="1"/>
        <v>234.10000000000002</v>
      </c>
      <c r="H41" s="135"/>
      <c r="I41" s="209">
        <v>273</v>
      </c>
      <c r="J41" s="314"/>
      <c r="K41" s="314"/>
    </row>
    <row r="42" spans="1:13" s="134" customFormat="1" ht="14.1" customHeight="1" x14ac:dyDescent="0.2">
      <c r="A42" s="205"/>
      <c r="B42" s="327" t="s">
        <v>1228</v>
      </c>
      <c r="C42" s="209">
        <v>38.51</v>
      </c>
      <c r="D42" s="209"/>
      <c r="E42" s="209">
        <v>0</v>
      </c>
      <c r="F42" s="212"/>
      <c r="G42" s="210">
        <f t="shared" si="1"/>
        <v>38.51</v>
      </c>
      <c r="H42" s="135"/>
      <c r="I42" s="209">
        <v>0</v>
      </c>
      <c r="J42" s="314"/>
      <c r="K42" s="314"/>
    </row>
    <row r="43" spans="1:13" ht="14.1" customHeight="1" x14ac:dyDescent="0.2">
      <c r="A43" s="205"/>
      <c r="B43" s="327" t="s">
        <v>1229</v>
      </c>
      <c r="C43" s="209">
        <v>0</v>
      </c>
      <c r="D43" s="209"/>
      <c r="E43" s="209">
        <v>0</v>
      </c>
      <c r="F43" s="212"/>
      <c r="G43" s="210">
        <f t="shared" si="1"/>
        <v>0</v>
      </c>
      <c r="H43" s="135"/>
      <c r="I43" s="209">
        <v>0</v>
      </c>
      <c r="J43" s="314"/>
      <c r="K43" s="314"/>
    </row>
    <row r="44" spans="1:13" ht="14.1" customHeight="1" x14ac:dyDescent="0.2">
      <c r="A44" s="205"/>
      <c r="B44" s="327" t="s">
        <v>860</v>
      </c>
      <c r="C44" s="209">
        <v>89.41</v>
      </c>
      <c r="D44" s="209"/>
      <c r="E44" s="209">
        <v>0</v>
      </c>
      <c r="F44" s="209"/>
      <c r="G44" s="210">
        <f>SUM(C44:E44)</f>
        <v>89.41</v>
      </c>
      <c r="H44" s="135"/>
      <c r="I44" s="209">
        <v>10</v>
      </c>
      <c r="J44" s="314"/>
      <c r="K44" s="314"/>
    </row>
    <row r="45" spans="1:13" ht="14.1" customHeight="1" thickBot="1" x14ac:dyDescent="0.3">
      <c r="A45" s="313"/>
      <c r="B45" s="289" t="s">
        <v>1230</v>
      </c>
      <c r="C45" s="211">
        <f>SUM(C35:C44)</f>
        <v>2172.58</v>
      </c>
      <c r="D45" s="209"/>
      <c r="E45" s="211">
        <f>SUM(E35:E44)</f>
        <v>230.48000000000002</v>
      </c>
      <c r="F45" s="209"/>
      <c r="G45" s="211">
        <f>SUM(G35:G44)</f>
        <v>2403.06</v>
      </c>
      <c r="H45" s="192"/>
      <c r="I45" s="211">
        <f>SUM(I35:I44)</f>
        <v>2258</v>
      </c>
      <c r="J45" s="314"/>
      <c r="K45" s="314"/>
    </row>
    <row r="46" spans="1:13" ht="14.1" customHeight="1" thickTop="1" x14ac:dyDescent="0.2">
      <c r="A46" s="205"/>
      <c r="B46" s="289" t="s">
        <v>798</v>
      </c>
      <c r="C46" s="190"/>
      <c r="D46" s="190"/>
      <c r="E46" s="190"/>
      <c r="F46" s="190"/>
      <c r="G46" s="190"/>
      <c r="H46" s="190"/>
      <c r="I46" s="190"/>
      <c r="J46" s="314"/>
      <c r="K46" s="314"/>
    </row>
    <row r="47" spans="1:13" ht="26.45" customHeight="1" x14ac:dyDescent="0.2">
      <c r="A47" s="205"/>
      <c r="B47" s="327" t="s">
        <v>1231</v>
      </c>
      <c r="C47" s="209">
        <v>0.05</v>
      </c>
      <c r="D47" s="209"/>
      <c r="E47" s="209">
        <v>2</v>
      </c>
      <c r="F47" s="212"/>
      <c r="G47" s="210">
        <f>SUM(C47:E47)</f>
        <v>2.0499999999999998</v>
      </c>
      <c r="H47" s="135"/>
      <c r="I47" s="209">
        <v>0</v>
      </c>
      <c r="J47" s="314"/>
      <c r="K47" s="314"/>
    </row>
    <row r="48" spans="1:13" ht="14.1" customHeight="1" x14ac:dyDescent="0.2">
      <c r="A48" s="205"/>
      <c r="B48" s="313"/>
      <c r="C48" s="209"/>
      <c r="D48" s="209"/>
      <c r="E48" s="209"/>
      <c r="F48" s="212"/>
      <c r="G48" s="210"/>
      <c r="H48" s="135"/>
      <c r="I48" s="209"/>
      <c r="J48" s="314"/>
      <c r="K48" s="314"/>
    </row>
    <row r="49" spans="1:11" ht="14.1" customHeight="1" x14ac:dyDescent="0.2">
      <c r="A49" s="205"/>
      <c r="B49" s="313"/>
      <c r="C49" s="314"/>
      <c r="D49" s="314"/>
      <c r="E49" s="314"/>
      <c r="F49" s="314"/>
      <c r="G49" s="314"/>
      <c r="H49" s="190"/>
      <c r="I49" s="190"/>
      <c r="J49" s="314"/>
      <c r="K49" s="314"/>
    </row>
    <row r="50" spans="1:11" ht="14.1" customHeight="1" x14ac:dyDescent="0.2">
      <c r="A50" s="205"/>
      <c r="B50" s="289" t="str">
        <f>"Reporting of compensation schemes - exit packages " &amp; CurrentFY</f>
        <v>Reporting of compensation schemes - exit packages 2021/22</v>
      </c>
      <c r="C50" s="114"/>
      <c r="D50" s="114"/>
      <c r="E50" s="114"/>
      <c r="F50" s="114"/>
      <c r="G50" s="114"/>
      <c r="H50" s="114"/>
      <c r="I50" s="314"/>
      <c r="J50" s="314"/>
      <c r="K50" s="314"/>
    </row>
    <row r="51" spans="1:11" ht="14.1" customHeight="1" x14ac:dyDescent="0.2">
      <c r="B51" s="482" t="s">
        <v>1232</v>
      </c>
      <c r="C51" s="482"/>
      <c r="D51" s="482"/>
      <c r="E51" s="482"/>
      <c r="F51" s="482"/>
      <c r="G51" s="482"/>
      <c r="H51" s="482"/>
      <c r="I51" s="482"/>
    </row>
    <row r="52" spans="1:11" ht="48.2" customHeight="1" x14ac:dyDescent="0.2">
      <c r="B52" s="316"/>
      <c r="C52" s="483" t="s">
        <v>1233</v>
      </c>
      <c r="D52" s="483"/>
      <c r="E52" s="483"/>
      <c r="F52" s="314"/>
      <c r="G52" s="331" t="s">
        <v>1234</v>
      </c>
      <c r="H52" s="314"/>
      <c r="I52" s="331" t="s">
        <v>1235</v>
      </c>
    </row>
    <row r="53" spans="1:11" ht="14.1" customHeight="1" x14ac:dyDescent="0.25">
      <c r="B53" s="317"/>
      <c r="C53" s="331"/>
      <c r="D53" s="314"/>
      <c r="E53" s="331" t="s">
        <v>1171</v>
      </c>
      <c r="F53" s="314"/>
      <c r="G53" s="331" t="s">
        <v>1171</v>
      </c>
      <c r="H53" s="314"/>
      <c r="I53" s="331" t="s">
        <v>1171</v>
      </c>
    </row>
    <row r="54" spans="1:11" ht="14.1" customHeight="1" x14ac:dyDescent="0.25">
      <c r="B54" s="289" t="s">
        <v>1236</v>
      </c>
      <c r="C54" s="314"/>
      <c r="D54" s="314"/>
      <c r="E54" s="136"/>
      <c r="F54" s="314"/>
      <c r="G54" s="136"/>
      <c r="H54" s="314"/>
      <c r="I54" s="136"/>
    </row>
    <row r="55" spans="1:11" ht="14.1" customHeight="1" x14ac:dyDescent="0.2">
      <c r="B55" s="313" t="s">
        <v>1237</v>
      </c>
      <c r="C55" s="314"/>
      <c r="D55" s="314"/>
      <c r="E55" s="209">
        <v>0</v>
      </c>
      <c r="F55" s="314"/>
      <c r="G55" s="209">
        <v>0</v>
      </c>
      <c r="H55" s="314"/>
      <c r="I55" s="210">
        <f>E55+G55</f>
        <v>0</v>
      </c>
    </row>
    <row r="56" spans="1:11" ht="14.1" customHeight="1" x14ac:dyDescent="0.2">
      <c r="B56" s="313" t="s">
        <v>1238</v>
      </c>
      <c r="C56" s="314"/>
      <c r="D56" s="314"/>
      <c r="E56" s="209">
        <v>0</v>
      </c>
      <c r="F56" s="314"/>
      <c r="G56" s="209">
        <v>0</v>
      </c>
      <c r="H56" s="314"/>
      <c r="I56" s="210">
        <f t="shared" ref="I56:I61" si="2">E56+G56</f>
        <v>0</v>
      </c>
    </row>
    <row r="57" spans="1:11" ht="14.1" customHeight="1" x14ac:dyDescent="0.2">
      <c r="B57" s="313" t="s">
        <v>1239</v>
      </c>
      <c r="C57" s="314"/>
      <c r="D57" s="314"/>
      <c r="E57" s="209">
        <v>0</v>
      </c>
      <c r="F57" s="314"/>
      <c r="G57" s="209">
        <v>0</v>
      </c>
      <c r="H57" s="314"/>
      <c r="I57" s="210">
        <f t="shared" si="2"/>
        <v>0</v>
      </c>
    </row>
    <row r="58" spans="1:11" ht="14.1" customHeight="1" x14ac:dyDescent="0.2">
      <c r="B58" s="313" t="s">
        <v>1240</v>
      </c>
      <c r="C58" s="314"/>
      <c r="D58" s="314"/>
      <c r="E58" s="209">
        <v>0</v>
      </c>
      <c r="F58" s="314"/>
      <c r="G58" s="209">
        <v>1</v>
      </c>
      <c r="H58" s="314"/>
      <c r="I58" s="210">
        <f t="shared" si="2"/>
        <v>1</v>
      </c>
    </row>
    <row r="59" spans="1:11" ht="14.1" customHeight="1" x14ac:dyDescent="0.2">
      <c r="B59" s="313" t="s">
        <v>1241</v>
      </c>
      <c r="C59" s="314"/>
      <c r="D59" s="314"/>
      <c r="E59" s="209">
        <v>0</v>
      </c>
      <c r="F59" s="314"/>
      <c r="G59" s="209">
        <v>0</v>
      </c>
      <c r="H59" s="314"/>
      <c r="I59" s="210">
        <f t="shared" si="2"/>
        <v>0</v>
      </c>
    </row>
    <row r="60" spans="1:11" ht="14.1" customHeight="1" x14ac:dyDescent="0.2">
      <c r="B60" s="313" t="s">
        <v>1242</v>
      </c>
      <c r="C60" s="314"/>
      <c r="D60" s="314"/>
      <c r="E60" s="209">
        <v>0</v>
      </c>
      <c r="F60" s="314"/>
      <c r="G60" s="209">
        <v>0</v>
      </c>
      <c r="H60" s="314"/>
      <c r="I60" s="210">
        <f t="shared" si="2"/>
        <v>0</v>
      </c>
    </row>
    <row r="61" spans="1:11" ht="14.1" customHeight="1" x14ac:dyDescent="0.2">
      <c r="B61" s="313" t="s">
        <v>1243</v>
      </c>
      <c r="C61" s="314"/>
      <c r="D61" s="314"/>
      <c r="E61" s="209">
        <v>0</v>
      </c>
      <c r="F61" s="314"/>
      <c r="G61" s="209">
        <v>0</v>
      </c>
      <c r="H61" s="314"/>
      <c r="I61" s="210">
        <f t="shared" si="2"/>
        <v>0</v>
      </c>
    </row>
    <row r="62" spans="1:11" ht="14.1" customHeight="1" thickBot="1" x14ac:dyDescent="0.25">
      <c r="B62" s="289" t="s">
        <v>1244</v>
      </c>
      <c r="C62" s="314"/>
      <c r="D62" s="314"/>
      <c r="E62" s="211">
        <f>SUM(E55:E61)</f>
        <v>0</v>
      </c>
      <c r="F62" s="314"/>
      <c r="G62" s="211">
        <f>SUM(G55:G61)</f>
        <v>1</v>
      </c>
      <c r="H62" s="314"/>
      <c r="I62" s="211">
        <f>SUM(I55:I61)</f>
        <v>1</v>
      </c>
    </row>
    <row r="63" spans="1:11" ht="14.1" customHeight="1" thickTop="1" x14ac:dyDescent="0.2">
      <c r="B63" s="313" t="s">
        <v>1245</v>
      </c>
      <c r="C63" s="314"/>
      <c r="D63" s="314"/>
      <c r="E63" s="209" t="s">
        <v>1470</v>
      </c>
      <c r="F63" s="314"/>
      <c r="G63" s="209" t="s">
        <v>1471</v>
      </c>
      <c r="H63" s="314"/>
      <c r="I63" s="210" t="str">
        <f>DOLLAR(E63+G63,0)</f>
        <v>£60,000</v>
      </c>
    </row>
    <row r="64" spans="1:11" ht="14.1" customHeight="1" x14ac:dyDescent="0.2">
      <c r="B64" s="313"/>
      <c r="C64" s="314"/>
      <c r="D64" s="137"/>
      <c r="E64" s="314"/>
      <c r="F64" s="314"/>
      <c r="G64" s="137"/>
      <c r="H64" s="314"/>
      <c r="I64" s="137"/>
    </row>
    <row r="66" spans="2:9" ht="14.1" customHeight="1" x14ac:dyDescent="0.25">
      <c r="B66" s="289" t="str">
        <f>"Reporting of compensation schemes - exit packages " &amp; ComparativeFY</f>
        <v>Reporting of compensation schemes - exit packages 2020/21</v>
      </c>
      <c r="C66" s="314"/>
      <c r="D66" s="192"/>
      <c r="E66" s="314"/>
      <c r="F66" s="192"/>
      <c r="G66" s="192"/>
      <c r="H66" s="314"/>
      <c r="I66" s="192"/>
    </row>
    <row r="67" spans="2:9" ht="14.1" customHeight="1" x14ac:dyDescent="0.2">
      <c r="B67" s="482" t="s">
        <v>1246</v>
      </c>
      <c r="C67" s="482"/>
      <c r="D67" s="482"/>
      <c r="E67" s="482"/>
      <c r="F67" s="482"/>
      <c r="G67" s="482"/>
      <c r="H67" s="482"/>
      <c r="I67" s="482"/>
    </row>
    <row r="68" spans="2:9" ht="46.35" customHeight="1" x14ac:dyDescent="0.2">
      <c r="B68" s="316"/>
      <c r="C68" s="483" t="s">
        <v>1247</v>
      </c>
      <c r="D68" s="483"/>
      <c r="E68" s="483"/>
      <c r="F68" s="314"/>
      <c r="G68" s="331" t="s">
        <v>1234</v>
      </c>
      <c r="H68" s="331"/>
      <c r="I68" s="331" t="s">
        <v>1235</v>
      </c>
    </row>
    <row r="69" spans="2:9" ht="14.1" customHeight="1" x14ac:dyDescent="0.25">
      <c r="B69" s="317"/>
      <c r="C69" s="331"/>
      <c r="D69" s="314"/>
      <c r="E69" s="331" t="s">
        <v>1171</v>
      </c>
      <c r="F69" s="331"/>
      <c r="G69" s="331" t="s">
        <v>1171</v>
      </c>
      <c r="H69" s="331"/>
      <c r="I69" s="331" t="s">
        <v>1171</v>
      </c>
    </row>
    <row r="70" spans="2:9" ht="14.1" customHeight="1" x14ac:dyDescent="0.2">
      <c r="B70" s="289" t="s">
        <v>1236</v>
      </c>
      <c r="C70" s="314"/>
      <c r="D70" s="314"/>
      <c r="E70" s="135"/>
      <c r="F70" s="314"/>
      <c r="G70" s="135"/>
      <c r="H70" s="135"/>
      <c r="I70" s="135"/>
    </row>
    <row r="71" spans="2:9" ht="14.1" customHeight="1" x14ac:dyDescent="0.2">
      <c r="B71" s="313" t="s">
        <v>1237</v>
      </c>
      <c r="C71" s="314"/>
      <c r="D71" s="314"/>
      <c r="E71" s="209">
        <v>0</v>
      </c>
      <c r="F71" s="209"/>
      <c r="G71" s="209">
        <v>5</v>
      </c>
      <c r="H71" s="212"/>
      <c r="I71" s="210">
        <f t="shared" ref="I71:I77" si="3">E71+G71</f>
        <v>5</v>
      </c>
    </row>
    <row r="72" spans="2:9" ht="14.1" customHeight="1" x14ac:dyDescent="0.2">
      <c r="B72" s="313" t="s">
        <v>1238</v>
      </c>
      <c r="C72" s="314"/>
      <c r="D72" s="314"/>
      <c r="E72" s="209">
        <v>0</v>
      </c>
      <c r="F72" s="209"/>
      <c r="G72" s="209">
        <v>2</v>
      </c>
      <c r="H72" s="212"/>
      <c r="I72" s="210">
        <f t="shared" si="3"/>
        <v>2</v>
      </c>
    </row>
    <row r="73" spans="2:9" ht="14.1" customHeight="1" x14ac:dyDescent="0.2">
      <c r="B73" s="313" t="s">
        <v>1239</v>
      </c>
      <c r="C73" s="314"/>
      <c r="D73" s="314"/>
      <c r="E73" s="209">
        <v>0</v>
      </c>
      <c r="F73" s="209"/>
      <c r="G73" s="209">
        <v>1</v>
      </c>
      <c r="H73" s="212"/>
      <c r="I73" s="210">
        <f t="shared" si="3"/>
        <v>1</v>
      </c>
    </row>
    <row r="74" spans="2:9" ht="14.1" customHeight="1" x14ac:dyDescent="0.2">
      <c r="B74" s="313" t="s">
        <v>1240</v>
      </c>
      <c r="C74" s="314"/>
      <c r="D74" s="314"/>
      <c r="E74" s="209">
        <v>0</v>
      </c>
      <c r="F74" s="209"/>
      <c r="G74" s="209">
        <v>2</v>
      </c>
      <c r="H74" s="212"/>
      <c r="I74" s="210">
        <f t="shared" si="3"/>
        <v>2</v>
      </c>
    </row>
    <row r="75" spans="2:9" ht="14.1" customHeight="1" x14ac:dyDescent="0.2">
      <c r="B75" s="313" t="s">
        <v>1241</v>
      </c>
      <c r="C75" s="314"/>
      <c r="D75" s="314"/>
      <c r="E75" s="209">
        <v>0</v>
      </c>
      <c r="F75" s="209"/>
      <c r="G75" s="209">
        <v>0</v>
      </c>
      <c r="H75" s="212"/>
      <c r="I75" s="210">
        <f t="shared" si="3"/>
        <v>0</v>
      </c>
    </row>
    <row r="76" spans="2:9" ht="14.1" customHeight="1" x14ac:dyDescent="0.2">
      <c r="B76" s="313" t="s">
        <v>1242</v>
      </c>
      <c r="C76" s="314"/>
      <c r="D76" s="314"/>
      <c r="E76" s="209">
        <v>0</v>
      </c>
      <c r="F76" s="209"/>
      <c r="G76" s="209">
        <v>0</v>
      </c>
      <c r="H76" s="212"/>
      <c r="I76" s="210">
        <f t="shared" si="3"/>
        <v>0</v>
      </c>
    </row>
    <row r="77" spans="2:9" ht="14.1" customHeight="1" x14ac:dyDescent="0.2">
      <c r="B77" s="313" t="s">
        <v>1243</v>
      </c>
      <c r="C77" s="314"/>
      <c r="D77" s="314"/>
      <c r="E77" s="209">
        <v>0</v>
      </c>
      <c r="F77" s="209"/>
      <c r="G77" s="209">
        <v>0</v>
      </c>
      <c r="H77" s="212"/>
      <c r="I77" s="210">
        <f t="shared" si="3"/>
        <v>0</v>
      </c>
    </row>
    <row r="78" spans="2:9" ht="14.1" customHeight="1" thickBot="1" x14ac:dyDescent="0.25">
      <c r="B78" s="289" t="s">
        <v>1244</v>
      </c>
      <c r="C78" s="314"/>
      <c r="D78" s="314"/>
      <c r="E78" s="211">
        <f>SUM(E71:E77)</f>
        <v>0</v>
      </c>
      <c r="F78" s="209"/>
      <c r="G78" s="211">
        <f>SUM(G71:G77)</f>
        <v>10</v>
      </c>
      <c r="H78" s="212"/>
      <c r="I78" s="211">
        <f>SUM(I71:I77)</f>
        <v>10</v>
      </c>
    </row>
    <row r="79" spans="2:9" ht="14.1" customHeight="1" thickTop="1" x14ac:dyDescent="0.2">
      <c r="B79" s="313" t="s">
        <v>1248</v>
      </c>
      <c r="C79" s="314"/>
      <c r="D79" s="314"/>
      <c r="E79" s="209" t="s">
        <v>1470</v>
      </c>
      <c r="F79" s="209"/>
      <c r="G79" s="209" t="s">
        <v>1472</v>
      </c>
      <c r="H79" s="212"/>
      <c r="I79" s="210" t="str">
        <f>DOLLAR(E79+G79,0)</f>
        <v>£230,000</v>
      </c>
    </row>
    <row r="80" spans="2:9" ht="14.1" customHeight="1" x14ac:dyDescent="0.2">
      <c r="B80" s="313"/>
      <c r="C80" s="314"/>
      <c r="D80" s="314"/>
      <c r="E80" s="314"/>
      <c r="F80" s="314"/>
      <c r="G80" s="314"/>
      <c r="H80" s="212"/>
      <c r="I80" s="314"/>
    </row>
    <row r="82" spans="2:9" ht="14.1" customHeight="1" x14ac:dyDescent="0.2">
      <c r="B82" s="289" t="s">
        <v>1249</v>
      </c>
      <c r="C82" s="54"/>
      <c r="D82" s="314"/>
      <c r="E82" s="314"/>
      <c r="F82" s="314"/>
      <c r="G82" s="314"/>
      <c r="H82" s="314"/>
      <c r="I82" s="314"/>
    </row>
    <row r="83" spans="2:9" ht="14.1" customHeight="1" x14ac:dyDescent="0.2">
      <c r="B83" s="289"/>
      <c r="C83" s="54"/>
      <c r="D83" s="314"/>
      <c r="E83" s="314"/>
      <c r="F83" s="314"/>
      <c r="G83" s="314"/>
      <c r="H83" s="314"/>
      <c r="I83" s="314"/>
    </row>
    <row r="84" spans="2:9" ht="14.1" customHeight="1" x14ac:dyDescent="0.2">
      <c r="B84" s="313"/>
      <c r="C84" s="484" t="str">
        <f>CurrentFY</f>
        <v>2021/22</v>
      </c>
      <c r="D84" s="484"/>
      <c r="E84" s="484"/>
      <c r="F84" s="314"/>
      <c r="G84" s="484" t="str">
        <f>ComparativeFY</f>
        <v>2020/21</v>
      </c>
      <c r="H84" s="484"/>
      <c r="I84" s="484"/>
    </row>
    <row r="85" spans="2:9" ht="48.75" customHeight="1" x14ac:dyDescent="0.2">
      <c r="B85" s="313"/>
      <c r="C85" s="331" t="s">
        <v>1250</v>
      </c>
      <c r="D85" s="483" t="s">
        <v>1251</v>
      </c>
      <c r="E85" s="483"/>
      <c r="F85" s="314"/>
      <c r="G85" s="331" t="s">
        <v>1250</v>
      </c>
      <c r="H85" s="483" t="s">
        <v>1251</v>
      </c>
      <c r="I85" s="483"/>
    </row>
    <row r="86" spans="2:9" ht="14.1" customHeight="1" x14ac:dyDescent="0.2">
      <c r="B86" s="316"/>
      <c r="C86" s="331" t="s">
        <v>1171</v>
      </c>
      <c r="D86" s="314"/>
      <c r="E86" s="331" t="s">
        <v>590</v>
      </c>
      <c r="F86" s="314"/>
      <c r="G86" s="331" t="s">
        <v>1171</v>
      </c>
      <c r="H86" s="314"/>
      <c r="I86" s="331" t="s">
        <v>590</v>
      </c>
    </row>
    <row r="87" spans="2:9" ht="24" x14ac:dyDescent="0.2">
      <c r="B87" s="327" t="s">
        <v>1252</v>
      </c>
      <c r="C87" s="209">
        <v>1</v>
      </c>
      <c r="D87" s="314"/>
      <c r="E87" s="209">
        <v>60</v>
      </c>
      <c r="F87" s="314"/>
      <c r="G87" s="209">
        <v>8</v>
      </c>
      <c r="H87" s="314"/>
      <c r="I87" s="209">
        <v>212</v>
      </c>
    </row>
    <row r="88" spans="2:9" ht="24" x14ac:dyDescent="0.2">
      <c r="B88" s="327" t="s">
        <v>1253</v>
      </c>
      <c r="C88" s="209">
        <v>0</v>
      </c>
      <c r="D88" s="314"/>
      <c r="E88" s="209">
        <v>0</v>
      </c>
      <c r="F88" s="314"/>
      <c r="G88" s="209">
        <v>0</v>
      </c>
      <c r="H88" s="314"/>
      <c r="I88" s="209">
        <v>0</v>
      </c>
    </row>
    <row r="89" spans="2:9" ht="24" x14ac:dyDescent="0.2">
      <c r="B89" s="327" t="s">
        <v>1254</v>
      </c>
      <c r="C89" s="209">
        <v>0</v>
      </c>
      <c r="D89" s="314"/>
      <c r="E89" s="209">
        <v>0</v>
      </c>
      <c r="F89" s="314"/>
      <c r="G89" s="209">
        <v>0</v>
      </c>
      <c r="H89" s="314"/>
      <c r="I89" s="209">
        <v>0</v>
      </c>
    </row>
    <row r="90" spans="2:9" ht="14.1" customHeight="1" x14ac:dyDescent="0.2">
      <c r="B90" s="327" t="s">
        <v>1255</v>
      </c>
      <c r="C90" s="209">
        <v>0</v>
      </c>
      <c r="D90" s="314"/>
      <c r="E90" s="209">
        <v>0</v>
      </c>
      <c r="F90" s="314"/>
      <c r="G90" s="209">
        <v>2</v>
      </c>
      <c r="H90" s="314"/>
      <c r="I90" s="209">
        <v>18</v>
      </c>
    </row>
    <row r="91" spans="2:9" ht="24" x14ac:dyDescent="0.2">
      <c r="B91" s="327" t="s">
        <v>1256</v>
      </c>
      <c r="C91" s="209">
        <v>0</v>
      </c>
      <c r="D91" s="314"/>
      <c r="E91" s="209">
        <v>0</v>
      </c>
      <c r="F91" s="314"/>
      <c r="G91" s="209">
        <v>0</v>
      </c>
      <c r="H91" s="314"/>
      <c r="I91" s="209">
        <v>0</v>
      </c>
    </row>
    <row r="92" spans="2:9" ht="14.1" customHeight="1" x14ac:dyDescent="0.2">
      <c r="B92" s="327" t="s">
        <v>1257</v>
      </c>
      <c r="C92" s="209">
        <v>0</v>
      </c>
      <c r="D92" s="314"/>
      <c r="E92" s="209">
        <v>0</v>
      </c>
      <c r="F92" s="314"/>
      <c r="G92" s="209">
        <v>0</v>
      </c>
      <c r="H92" s="314"/>
      <c r="I92" s="209">
        <v>0</v>
      </c>
    </row>
    <row r="93" spans="2:9" ht="14.1" customHeight="1" thickBot="1" x14ac:dyDescent="0.25">
      <c r="B93" s="289" t="s">
        <v>589</v>
      </c>
      <c r="C93" s="211">
        <f>SUM(C87:C92)</f>
        <v>1</v>
      </c>
      <c r="D93" s="314"/>
      <c r="E93" s="211">
        <f>SUM(E87:E92)</f>
        <v>60</v>
      </c>
      <c r="F93" s="314"/>
      <c r="G93" s="211">
        <f>SUM(G87:G92)</f>
        <v>10</v>
      </c>
      <c r="H93" s="314"/>
      <c r="I93" s="211">
        <f>SUM(I87:I92)</f>
        <v>230</v>
      </c>
    </row>
    <row r="94" spans="2:9" ht="14.1" customHeight="1" thickTop="1" x14ac:dyDescent="0.2">
      <c r="B94" s="289" t="s">
        <v>798</v>
      </c>
      <c r="C94" s="212"/>
      <c r="D94" s="314"/>
      <c r="E94" s="212"/>
      <c r="F94" s="212"/>
      <c r="G94" s="212"/>
      <c r="H94" s="212"/>
      <c r="I94" s="314"/>
    </row>
    <row r="95" spans="2:9" ht="48" x14ac:dyDescent="0.2">
      <c r="B95" s="327" t="s">
        <v>1258</v>
      </c>
      <c r="C95" s="209">
        <v>0</v>
      </c>
      <c r="D95" s="314"/>
      <c r="E95" s="209">
        <v>0</v>
      </c>
      <c r="F95" s="314"/>
      <c r="G95" s="209">
        <v>0</v>
      </c>
      <c r="H95" s="314"/>
      <c r="I95" s="209">
        <v>0</v>
      </c>
    </row>
    <row r="97" spans="2:9" ht="14.1" customHeight="1" x14ac:dyDescent="0.2">
      <c r="B97" s="472" t="s">
        <v>1291</v>
      </c>
      <c r="C97" s="472"/>
      <c r="D97" s="472"/>
      <c r="E97" s="472"/>
      <c r="F97" s="472"/>
      <c r="G97" s="472"/>
      <c r="H97" s="472"/>
      <c r="I97" s="472"/>
    </row>
    <row r="98" spans="2:9" ht="14.1" customHeight="1" x14ac:dyDescent="0.2">
      <c r="B98" s="472"/>
      <c r="C98" s="472"/>
      <c r="D98" s="472"/>
      <c r="E98" s="472"/>
      <c r="F98" s="472"/>
      <c r="G98" s="472"/>
      <c r="H98" s="472"/>
      <c r="I98" s="472"/>
    </row>
    <row r="99" spans="2:9" ht="14.1" customHeight="1" x14ac:dyDescent="0.2">
      <c r="B99" s="472"/>
      <c r="C99" s="472"/>
      <c r="D99" s="472"/>
      <c r="E99" s="472"/>
      <c r="F99" s="472"/>
      <c r="G99" s="472"/>
      <c r="H99" s="472"/>
      <c r="I99" s="472"/>
    </row>
    <row r="100" spans="2:9" ht="14.1" customHeight="1" x14ac:dyDescent="0.2">
      <c r="B100" s="344"/>
      <c r="C100" s="344"/>
      <c r="D100" s="344"/>
      <c r="E100" s="344"/>
      <c r="F100" s="344"/>
      <c r="G100" s="344"/>
      <c r="H100" s="344"/>
      <c r="I100" s="344"/>
    </row>
    <row r="101" spans="2:9" ht="14.1" customHeight="1" x14ac:dyDescent="0.2">
      <c r="B101" s="344"/>
      <c r="C101" s="344"/>
      <c r="D101" s="344"/>
      <c r="E101" s="344"/>
      <c r="F101" s="344"/>
      <c r="G101" s="344"/>
      <c r="H101" s="344"/>
      <c r="I101" s="344"/>
    </row>
    <row r="102" spans="2:9" ht="14.1" customHeight="1" x14ac:dyDescent="0.2">
      <c r="B102" s="344"/>
      <c r="C102" s="344"/>
      <c r="D102" s="344"/>
      <c r="E102" s="344"/>
      <c r="F102" s="344"/>
      <c r="G102" s="344"/>
      <c r="H102" s="344"/>
      <c r="I102" s="344"/>
    </row>
    <row r="103" spans="2:9" ht="14.1" customHeight="1" x14ac:dyDescent="0.2">
      <c r="B103" s="344"/>
      <c r="C103" s="344"/>
      <c r="D103" s="344"/>
      <c r="E103" s="344"/>
      <c r="F103" s="344"/>
      <c r="G103" s="344"/>
      <c r="H103" s="344"/>
      <c r="I103" s="344"/>
    </row>
    <row r="104" spans="2:9" ht="14.1" customHeight="1" x14ac:dyDescent="0.2">
      <c r="B104" s="344"/>
      <c r="C104" s="344"/>
      <c r="D104" s="344"/>
      <c r="E104" s="344"/>
      <c r="F104" s="344"/>
      <c r="G104" s="344"/>
      <c r="H104" s="344"/>
      <c r="I104" s="344"/>
    </row>
    <row r="105" spans="2:9" ht="14.1" customHeight="1" x14ac:dyDescent="0.2">
      <c r="B105" s="344"/>
      <c r="C105" s="344"/>
      <c r="D105" s="344"/>
      <c r="E105" s="344"/>
      <c r="F105" s="344"/>
      <c r="G105" s="344"/>
      <c r="H105" s="344"/>
      <c r="I105" s="344"/>
    </row>
  </sheetData>
  <mergeCells count="12">
    <mergeCell ref="B97:I99"/>
    <mergeCell ref="B3:I7"/>
    <mergeCell ref="B51:I51"/>
    <mergeCell ref="C52:E52"/>
    <mergeCell ref="D85:E85"/>
    <mergeCell ref="H85:I85"/>
    <mergeCell ref="G84:I84"/>
    <mergeCell ref="C84:E84"/>
    <mergeCell ref="B67:I67"/>
    <mergeCell ref="C10:I10"/>
    <mergeCell ref="C31:I31"/>
    <mergeCell ref="C68:E68"/>
  </mergeCells>
  <pageMargins left="0.7" right="0.7" top="0.75" bottom="0.75" header="0.3" footer="0.3"/>
  <pageSetup paperSize="9" orientation="portrait" verticalDpi="0" r:id="rId1"/>
  <rowBreaks count="2" manualBreakCount="2">
    <brk id="49" max="16383" man="1"/>
    <brk id="81" max="16383" man="1"/>
  </rowBreaks>
  <ignoredErrors>
    <ignoredError sqref="G2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J58"/>
  <sheetViews>
    <sheetView showGridLines="0" zoomScale="90" zoomScaleNormal="90" workbookViewId="0">
      <selection activeCell="Q33" sqref="Q33"/>
    </sheetView>
  </sheetViews>
  <sheetFormatPr defaultColWidth="9.140625" defaultRowHeight="12" x14ac:dyDescent="0.2"/>
  <cols>
    <col min="1" max="1" width="3.140625" style="3" customWidth="1"/>
    <col min="2" max="2" width="41.42578125" style="3" bestFit="1" customWidth="1"/>
    <col min="3" max="3" width="5.85546875" style="86" bestFit="1" customWidth="1"/>
    <col min="4" max="4" width="11.85546875" style="3" bestFit="1" customWidth="1"/>
    <col min="5" max="5" width="0.7109375" style="45" customWidth="1"/>
    <col min="6" max="6" width="11.85546875" style="3" bestFit="1" customWidth="1"/>
    <col min="7" max="7" width="0.7109375" style="3" customWidth="1"/>
    <col min="8" max="8" width="11.85546875" style="3" bestFit="1" customWidth="1"/>
    <col min="9" max="9" width="0.7109375" style="3" customWidth="1"/>
    <col min="10" max="10" width="11.85546875" style="3" bestFit="1" customWidth="1"/>
    <col min="11" max="16384" width="9.140625" style="3"/>
  </cols>
  <sheetData>
    <row r="1" spans="1:10" s="222" customFormat="1" ht="12.75" x14ac:dyDescent="0.2">
      <c r="A1" s="350" t="s">
        <v>1310</v>
      </c>
      <c r="B1" s="351"/>
      <c r="C1" s="351"/>
      <c r="D1" s="351"/>
      <c r="E1" s="351"/>
      <c r="F1" s="351"/>
      <c r="G1" s="351"/>
      <c r="H1" s="351"/>
      <c r="I1" s="351"/>
      <c r="J1" s="351"/>
    </row>
    <row r="2" spans="1:10" s="222" customFormat="1" x14ac:dyDescent="0.2">
      <c r="C2" s="86"/>
      <c r="E2" s="219"/>
    </row>
    <row r="3" spans="1:10" ht="17.45" customHeight="1" x14ac:dyDescent="0.25">
      <c r="B3" s="132" t="s">
        <v>547</v>
      </c>
      <c r="D3" s="443" t="s">
        <v>500</v>
      </c>
      <c r="E3" s="443"/>
      <c r="F3" s="443"/>
      <c r="G3" s="222"/>
      <c r="H3" s="443" t="s">
        <v>94</v>
      </c>
      <c r="I3" s="443"/>
      <c r="J3" s="443"/>
    </row>
    <row r="4" spans="1:10" ht="24" x14ac:dyDescent="0.2">
      <c r="B4" s="316"/>
      <c r="C4" s="10"/>
      <c r="D4" s="93" t="str">
        <f>TEXT(CurrentYearEnd, "d mmmm yyyy")</f>
        <v>31 March 2022</v>
      </c>
      <c r="E4" s="123"/>
      <c r="F4" s="290" t="str">
        <f>TEXT(ComparativeYearEnd, "d mmmm yyyy")</f>
        <v>31 March 2021</v>
      </c>
      <c r="G4" s="222"/>
      <c r="H4" s="93" t="str">
        <f>TEXT(CurrentYearEnd, "d mmmm yyyy")</f>
        <v>31 March 2022</v>
      </c>
      <c r="I4" s="123"/>
      <c r="J4" s="290" t="str">
        <f>TEXT(ComparativeYearEnd, "d mmmm yyyy")</f>
        <v>31 March 2021</v>
      </c>
    </row>
    <row r="5" spans="1:10" ht="14.1" customHeight="1" x14ac:dyDescent="0.2">
      <c r="B5" s="316"/>
      <c r="C5" s="323" t="s">
        <v>501</v>
      </c>
      <c r="D5" s="290" t="s">
        <v>502</v>
      </c>
      <c r="E5" s="219"/>
      <c r="F5" s="290" t="s">
        <v>502</v>
      </c>
      <c r="G5" s="222"/>
      <c r="H5" s="290" t="s">
        <v>502</v>
      </c>
      <c r="I5" s="219"/>
      <c r="J5" s="290" t="s">
        <v>502</v>
      </c>
    </row>
    <row r="6" spans="1:10" ht="11.25" customHeight="1" x14ac:dyDescent="0.2">
      <c r="B6" s="289" t="s">
        <v>548</v>
      </c>
      <c r="C6" s="10"/>
      <c r="D6" s="23"/>
      <c r="E6" s="219"/>
      <c r="F6" s="23"/>
      <c r="G6" s="222"/>
      <c r="H6" s="222"/>
      <c r="I6" s="222"/>
      <c r="J6" s="222"/>
    </row>
    <row r="7" spans="1:10" ht="14.1" customHeight="1" x14ac:dyDescent="0.2">
      <c r="B7" s="183" t="s">
        <v>549</v>
      </c>
      <c r="C7" s="154">
        <f>ROUNDDOWN('Intangibles (trust)'!A3,0)</f>
        <v>15</v>
      </c>
      <c r="D7" s="219">
        <v>4248.6557900000025</v>
      </c>
      <c r="E7" s="219"/>
      <c r="F7" s="219">
        <v>3963.6557900000016</v>
      </c>
      <c r="G7" s="222"/>
      <c r="H7" s="219">
        <v>4248.6557900000025</v>
      </c>
      <c r="I7" s="219"/>
      <c r="J7" s="219">
        <v>3963.6557900000016</v>
      </c>
    </row>
    <row r="8" spans="1:10" ht="14.1" customHeight="1" x14ac:dyDescent="0.2">
      <c r="B8" s="183" t="s">
        <v>550</v>
      </c>
      <c r="C8" s="154">
        <f>ROUNDDOWN('PPE (trust)'!A3,0)</f>
        <v>17</v>
      </c>
      <c r="D8" s="219">
        <v>106033.53969000001</v>
      </c>
      <c r="E8" s="219"/>
      <c r="F8" s="219">
        <v>96893.539690000005</v>
      </c>
      <c r="G8" s="222"/>
      <c r="H8" s="219">
        <v>104414.53969000001</v>
      </c>
      <c r="I8" s="219"/>
      <c r="J8" s="219">
        <v>96657.539690000005</v>
      </c>
    </row>
    <row r="9" spans="1:10" ht="14.1" hidden="1" customHeight="1" x14ac:dyDescent="0.2">
      <c r="B9" s="183" t="s">
        <v>551</v>
      </c>
      <c r="C9" s="154">
        <f>ROUNDDOWN('PPE &amp; Inv Prop'!A14,0)</f>
        <v>20</v>
      </c>
      <c r="D9" s="219">
        <v>0</v>
      </c>
      <c r="E9" s="219"/>
      <c r="F9" s="219">
        <v>0</v>
      </c>
      <c r="G9" s="222"/>
      <c r="H9" s="219">
        <v>0</v>
      </c>
      <c r="I9" s="219"/>
      <c r="J9" s="219">
        <v>0</v>
      </c>
    </row>
    <row r="10" spans="1:10" ht="14.1" customHeight="1" x14ac:dyDescent="0.2">
      <c r="B10" s="183" t="s">
        <v>552</v>
      </c>
      <c r="C10" s="154">
        <f>ROUNDDOWN('Inv in assoc &amp; JVs, other inv'!A3,0)</f>
        <v>20</v>
      </c>
      <c r="D10" s="219">
        <v>1029.02242</v>
      </c>
      <c r="E10" s="219"/>
      <c r="F10" s="219">
        <v>780.02242000000001</v>
      </c>
      <c r="G10" s="222"/>
      <c r="H10" s="219">
        <v>0</v>
      </c>
      <c r="I10" s="219"/>
      <c r="J10" s="219">
        <v>0</v>
      </c>
    </row>
    <row r="11" spans="1:10" ht="14.1" customHeight="1" x14ac:dyDescent="0.2">
      <c r="B11" s="183" t="s">
        <v>1346</v>
      </c>
      <c r="C11" s="154">
        <f>ROUNDDOWN('Inv in assoc &amp; JVs, other inv'!A23,0)</f>
        <v>21</v>
      </c>
      <c r="D11" s="219">
        <v>0</v>
      </c>
      <c r="E11" s="219"/>
      <c r="F11" s="219">
        <v>0</v>
      </c>
      <c r="G11" s="222"/>
      <c r="H11" s="219">
        <v>3432.0224200000002</v>
      </c>
      <c r="I11" s="219"/>
      <c r="J11" s="219">
        <v>3384.0224200000002</v>
      </c>
    </row>
    <row r="12" spans="1:10" ht="14.1" customHeight="1" x14ac:dyDescent="0.2">
      <c r="B12" s="183" t="s">
        <v>554</v>
      </c>
      <c r="C12" s="154">
        <f>ROUNDDOWN(Receivables!A3,0)</f>
        <v>22</v>
      </c>
      <c r="D12" s="219">
        <v>263</v>
      </c>
      <c r="E12" s="219"/>
      <c r="F12" s="219">
        <v>895</v>
      </c>
      <c r="G12" s="222"/>
      <c r="H12" s="219">
        <v>263</v>
      </c>
      <c r="I12" s="219"/>
      <c r="J12" s="219">
        <v>895</v>
      </c>
    </row>
    <row r="13" spans="1:10" ht="14.1" hidden="1" customHeight="1" x14ac:dyDescent="0.2">
      <c r="B13" s="183" t="s">
        <v>555</v>
      </c>
      <c r="C13" s="154" t="e">
        <f>ROUNDDOWN(#REF!,0)</f>
        <v>#REF!</v>
      </c>
      <c r="D13" s="219">
        <v>0</v>
      </c>
      <c r="E13" s="219"/>
      <c r="F13" s="219">
        <v>0</v>
      </c>
      <c r="G13" s="222"/>
      <c r="H13" s="219">
        <v>0</v>
      </c>
      <c r="I13" s="219"/>
      <c r="J13" s="219"/>
    </row>
    <row r="14" spans="1:10" ht="14.1" customHeight="1" x14ac:dyDescent="0.2">
      <c r="B14" s="289" t="s">
        <v>556</v>
      </c>
      <c r="C14" s="154"/>
      <c r="D14" s="207">
        <f>SUM(D7:D13)</f>
        <v>111574.2179</v>
      </c>
      <c r="E14" s="219"/>
      <c r="F14" s="207">
        <f>SUM(F7:F13)</f>
        <v>102532.2179</v>
      </c>
      <c r="G14" s="6"/>
      <c r="H14" s="207">
        <f>SUM(H7:H13)</f>
        <v>112358.2179</v>
      </c>
      <c r="I14" s="222"/>
      <c r="J14" s="207">
        <f>SUM(J7:J13)</f>
        <v>104900.2179</v>
      </c>
    </row>
    <row r="15" spans="1:10" ht="14.1" customHeight="1" x14ac:dyDescent="0.2">
      <c r="B15" s="289" t="s">
        <v>557</v>
      </c>
      <c r="C15" s="154"/>
      <c r="D15" s="24"/>
      <c r="E15" s="219"/>
      <c r="F15" s="24"/>
      <c r="G15" s="222"/>
      <c r="H15" s="222"/>
      <c r="I15" s="222"/>
      <c r="J15" s="222"/>
    </row>
    <row r="16" spans="1:10" ht="14.1" customHeight="1" x14ac:dyDescent="0.2">
      <c r="B16" s="183" t="s">
        <v>558</v>
      </c>
      <c r="C16" s="154">
        <f>ROUNDDOWN('Interests&amp;Inventory'!A28,0)</f>
        <v>21</v>
      </c>
      <c r="D16" s="219">
        <v>3556.885419999996</v>
      </c>
      <c r="E16" s="219"/>
      <c r="F16" s="219">
        <v>3439.7374000000009</v>
      </c>
      <c r="G16" s="222"/>
      <c r="H16" s="219">
        <v>3542.885419999996</v>
      </c>
      <c r="I16" s="222"/>
      <c r="J16" s="219">
        <v>3412.7374000000009</v>
      </c>
    </row>
    <row r="17" spans="2:10" ht="14.1" customHeight="1" x14ac:dyDescent="0.2">
      <c r="B17" s="183" t="s">
        <v>554</v>
      </c>
      <c r="C17" s="154">
        <f>ROUNDDOWN(Receivables!A3,0)</f>
        <v>22</v>
      </c>
      <c r="D17" s="219">
        <v>24876</v>
      </c>
      <c r="E17" s="219"/>
      <c r="F17" s="219">
        <v>20486</v>
      </c>
      <c r="G17" s="222"/>
      <c r="H17" s="219">
        <v>24274</v>
      </c>
      <c r="I17" s="222"/>
      <c r="J17" s="219">
        <v>19907</v>
      </c>
    </row>
    <row r="18" spans="2:10" ht="14.1" hidden="1" customHeight="1" x14ac:dyDescent="0.2">
      <c r="B18" s="183" t="s">
        <v>553</v>
      </c>
      <c r="C18" s="154">
        <f>ROUNDDOWN('Inv in assoc &amp; JVs, other inv'!A23,0)</f>
        <v>21</v>
      </c>
      <c r="D18" s="219">
        <v>0</v>
      </c>
      <c r="E18" s="219"/>
      <c r="F18" s="219">
        <v>0</v>
      </c>
      <c r="G18" s="222"/>
      <c r="H18" s="219">
        <v>0</v>
      </c>
      <c r="I18" s="222"/>
      <c r="J18" s="219">
        <v>0</v>
      </c>
    </row>
    <row r="19" spans="2:10" ht="14.1" hidden="1" customHeight="1" x14ac:dyDescent="0.2">
      <c r="B19" s="183" t="s">
        <v>559</v>
      </c>
      <c r="C19" s="154" t="e">
        <f>ROUNDDOWN(#REF!,0)</f>
        <v>#REF!</v>
      </c>
      <c r="D19" s="219">
        <v>0</v>
      </c>
      <c r="E19" s="219"/>
      <c r="F19" s="219">
        <v>0</v>
      </c>
      <c r="G19" s="222"/>
      <c r="H19" s="219">
        <v>0</v>
      </c>
      <c r="I19" s="222"/>
      <c r="J19" s="219">
        <v>0</v>
      </c>
    </row>
    <row r="20" spans="2:10" ht="13.7" hidden="1" customHeight="1" x14ac:dyDescent="0.2">
      <c r="B20" s="183" t="s">
        <v>560</v>
      </c>
      <c r="C20" s="154" t="e">
        <f>#REF!</f>
        <v>#REF!</v>
      </c>
      <c r="D20" s="219">
        <v>0</v>
      </c>
      <c r="E20" s="219"/>
      <c r="F20" s="219">
        <v>0</v>
      </c>
      <c r="G20" s="222"/>
      <c r="H20" s="219">
        <v>0</v>
      </c>
      <c r="I20" s="222"/>
      <c r="J20" s="219">
        <v>0</v>
      </c>
    </row>
    <row r="21" spans="2:10" ht="14.1" customHeight="1" x14ac:dyDescent="0.2">
      <c r="B21" s="183" t="s">
        <v>561</v>
      </c>
      <c r="C21" s="154">
        <f>ROUNDDOWN(CCE!A14,0)</f>
        <v>23</v>
      </c>
      <c r="D21" s="219">
        <v>69261</v>
      </c>
      <c r="E21" s="219"/>
      <c r="F21" s="219">
        <v>68385</v>
      </c>
      <c r="G21" s="222"/>
      <c r="H21" s="219">
        <v>68947</v>
      </c>
      <c r="I21" s="222"/>
      <c r="J21" s="219">
        <v>67074</v>
      </c>
    </row>
    <row r="22" spans="2:10" ht="14.1" customHeight="1" x14ac:dyDescent="0.2">
      <c r="B22" s="289" t="s">
        <v>562</v>
      </c>
      <c r="C22" s="154"/>
      <c r="D22" s="207">
        <f>SUM(D16:D21)</f>
        <v>97693.885419999991</v>
      </c>
      <c r="E22" s="219"/>
      <c r="F22" s="207">
        <f>SUM(F16:F21)</f>
        <v>92310.737399999998</v>
      </c>
      <c r="G22" s="222"/>
      <c r="H22" s="207">
        <f>SUM(H16:H21)</f>
        <v>96763.885419999991</v>
      </c>
      <c r="I22" s="222"/>
      <c r="J22" s="207">
        <f>SUM(J16:J21)</f>
        <v>90393.737399999998</v>
      </c>
    </row>
    <row r="23" spans="2:10" ht="14.1" customHeight="1" x14ac:dyDescent="0.2">
      <c r="B23" s="289" t="s">
        <v>563</v>
      </c>
      <c r="C23" s="154"/>
      <c r="D23" s="24"/>
      <c r="E23" s="219"/>
      <c r="F23" s="24"/>
      <c r="G23" s="222"/>
      <c r="H23" s="222"/>
      <c r="I23" s="222"/>
      <c r="J23" s="222"/>
    </row>
    <row r="24" spans="2:10" ht="14.1" customHeight="1" x14ac:dyDescent="0.2">
      <c r="B24" s="183" t="s">
        <v>564</v>
      </c>
      <c r="C24" s="154">
        <f>ROUNDDOWN(Payables!A3,0)</f>
        <v>24</v>
      </c>
      <c r="D24" s="219">
        <v>-46355</v>
      </c>
      <c r="E24" s="219"/>
      <c r="F24" s="219">
        <v>-50431</v>
      </c>
      <c r="G24" s="222"/>
      <c r="H24" s="219">
        <v>-44660</v>
      </c>
      <c r="I24" s="222"/>
      <c r="J24" s="219">
        <v>-49411</v>
      </c>
    </row>
    <row r="25" spans="2:10" ht="14.1" customHeight="1" x14ac:dyDescent="0.2">
      <c r="B25" s="183" t="s">
        <v>565</v>
      </c>
      <c r="C25" s="154">
        <f>ROUNDDOWN('OL &amp; Borrowings'!A28,0)</f>
        <v>26</v>
      </c>
      <c r="D25" s="219">
        <v>-1893</v>
      </c>
      <c r="E25" s="219"/>
      <c r="F25" s="219">
        <v>-1893</v>
      </c>
      <c r="G25" s="222"/>
      <c r="H25" s="219">
        <v>-1893</v>
      </c>
      <c r="I25" s="222"/>
      <c r="J25" s="219">
        <v>-1893</v>
      </c>
    </row>
    <row r="26" spans="2:10" ht="14.1" hidden="1" customHeight="1" x14ac:dyDescent="0.2">
      <c r="B26" s="183" t="s">
        <v>566</v>
      </c>
      <c r="C26" s="154" t="e">
        <f>ROUNDDOWN(#REF!,0)</f>
        <v>#REF!</v>
      </c>
      <c r="D26" s="219">
        <v>0</v>
      </c>
      <c r="E26" s="219"/>
      <c r="F26" s="219">
        <v>0</v>
      </c>
      <c r="G26" s="222"/>
      <c r="H26" s="219">
        <v>0</v>
      </c>
      <c r="I26" s="222"/>
      <c r="J26" s="219">
        <v>0</v>
      </c>
    </row>
    <row r="27" spans="2:10" ht="13.7" customHeight="1" x14ac:dyDescent="0.2">
      <c r="B27" s="183" t="s">
        <v>567</v>
      </c>
      <c r="C27" s="154">
        <f>ROUNDDOWN(Provisions!A3,0)</f>
        <v>27</v>
      </c>
      <c r="D27" s="219">
        <v>-3009</v>
      </c>
      <c r="E27" s="219"/>
      <c r="F27" s="219">
        <v>-2761.7</v>
      </c>
      <c r="G27" s="222"/>
      <c r="H27" s="219">
        <v>-3009</v>
      </c>
      <c r="I27" s="222"/>
      <c r="J27" s="219">
        <v>-2761.7</v>
      </c>
    </row>
    <row r="28" spans="2:10" ht="14.1" customHeight="1" x14ac:dyDescent="0.2">
      <c r="B28" s="183" t="s">
        <v>568</v>
      </c>
      <c r="C28" s="154">
        <f>ROUNDDOWN('OL &amp; Borrowings'!A3,0)</f>
        <v>25</v>
      </c>
      <c r="D28" s="219">
        <v>-4225</v>
      </c>
      <c r="E28" s="219"/>
      <c r="F28" s="219">
        <v>-7181</v>
      </c>
      <c r="G28" s="222"/>
      <c r="H28" s="219">
        <v>-4225</v>
      </c>
      <c r="I28" s="222"/>
      <c r="J28" s="219">
        <v>-7181</v>
      </c>
    </row>
    <row r="29" spans="2:10" ht="14.1" hidden="1" customHeight="1" x14ac:dyDescent="0.2">
      <c r="B29" s="183" t="s">
        <v>569</v>
      </c>
      <c r="C29" s="154" t="e">
        <f>CCE!A3</f>
        <v>#REF!</v>
      </c>
      <c r="D29" s="219">
        <v>0</v>
      </c>
      <c r="E29" s="219"/>
      <c r="F29" s="219">
        <v>0</v>
      </c>
      <c r="G29" s="222"/>
      <c r="H29" s="222"/>
      <c r="I29" s="222"/>
      <c r="J29" s="219">
        <v>0</v>
      </c>
    </row>
    <row r="30" spans="2:10" ht="14.1" customHeight="1" x14ac:dyDescent="0.2">
      <c r="B30" s="289" t="s">
        <v>570</v>
      </c>
      <c r="C30" s="154"/>
      <c r="D30" s="207">
        <f>SUM(D24:D29)</f>
        <v>-55482</v>
      </c>
      <c r="E30" s="219"/>
      <c r="F30" s="207">
        <f>SUM(F24:F29)</f>
        <v>-62266.7</v>
      </c>
      <c r="G30" s="6"/>
      <c r="H30" s="207">
        <f>SUM(H24:H29)</f>
        <v>-53787</v>
      </c>
      <c r="I30" s="6"/>
      <c r="J30" s="207">
        <f>SUM(J24:J29)</f>
        <v>-61246.7</v>
      </c>
    </row>
    <row r="31" spans="2:10" ht="14.1" customHeight="1" x14ac:dyDescent="0.2">
      <c r="B31" s="289" t="s">
        <v>571</v>
      </c>
      <c r="C31" s="154"/>
      <c r="D31" s="207">
        <f>D22+D14+D30</f>
        <v>153786.10331999999</v>
      </c>
      <c r="E31" s="219"/>
      <c r="F31" s="207">
        <f>F22+F14+F30</f>
        <v>132576.25530000002</v>
      </c>
      <c r="G31" s="6"/>
      <c r="H31" s="207">
        <f>H22+H14+H30</f>
        <v>155335.10331999999</v>
      </c>
      <c r="I31" s="6"/>
      <c r="J31" s="207">
        <f>J22+J14+J30</f>
        <v>134047.25530000002</v>
      </c>
    </row>
    <row r="32" spans="2:10" ht="14.1" customHeight="1" x14ac:dyDescent="0.2">
      <c r="B32" s="289" t="s">
        <v>572</v>
      </c>
      <c r="C32" s="154"/>
      <c r="D32" s="25"/>
      <c r="E32" s="219"/>
      <c r="F32" s="25"/>
      <c r="G32" s="6"/>
      <c r="H32" s="6"/>
      <c r="I32" s="6"/>
      <c r="J32" s="6"/>
    </row>
    <row r="33" spans="2:10" ht="14.1" customHeight="1" x14ac:dyDescent="0.2">
      <c r="B33" s="183" t="s">
        <v>564</v>
      </c>
      <c r="C33" s="154">
        <f>ROUNDDOWN(Payables!A3,0)</f>
        <v>24</v>
      </c>
      <c r="D33" s="219">
        <v>-975</v>
      </c>
      <c r="E33" s="219"/>
      <c r="F33" s="219">
        <v>-1048</v>
      </c>
      <c r="G33" s="222"/>
      <c r="H33" s="219">
        <v>-975</v>
      </c>
      <c r="I33" s="222"/>
      <c r="J33" s="219">
        <v>-1048</v>
      </c>
    </row>
    <row r="34" spans="2:10" ht="14.1" customHeight="1" x14ac:dyDescent="0.2">
      <c r="B34" s="183" t="s">
        <v>565</v>
      </c>
      <c r="C34" s="154">
        <f>ROUNDDOWN('OL &amp; Borrowings'!A28,0)</f>
        <v>26</v>
      </c>
      <c r="D34" s="219">
        <v>-30084</v>
      </c>
      <c r="E34" s="219"/>
      <c r="F34" s="219">
        <v>-31908</v>
      </c>
      <c r="G34" s="222"/>
      <c r="H34" s="219">
        <v>-30084</v>
      </c>
      <c r="I34" s="222"/>
      <c r="J34" s="219">
        <v>-31908</v>
      </c>
    </row>
    <row r="35" spans="2:10" ht="14.1" hidden="1" customHeight="1" x14ac:dyDescent="0.2">
      <c r="B35" s="183" t="s">
        <v>566</v>
      </c>
      <c r="C35" s="154" t="e">
        <f>ROUNDDOWN(#REF!,0)</f>
        <v>#REF!</v>
      </c>
      <c r="D35" s="219">
        <v>0</v>
      </c>
      <c r="E35" s="219"/>
      <c r="F35" s="219">
        <v>0</v>
      </c>
      <c r="G35" s="222"/>
      <c r="H35" s="219">
        <v>0</v>
      </c>
      <c r="I35" s="222"/>
      <c r="J35" s="219">
        <v>0</v>
      </c>
    </row>
    <row r="36" spans="2:10" ht="14.1" customHeight="1" x14ac:dyDescent="0.2">
      <c r="B36" s="183" t="s">
        <v>567</v>
      </c>
      <c r="C36" s="154">
        <f>ROUNDDOWN(Provisions!A3,0)</f>
        <v>27</v>
      </c>
      <c r="D36" s="219">
        <v>-2745.5214599999999</v>
      </c>
      <c r="E36" s="219"/>
      <c r="F36" s="219">
        <v>-3005.8214600000001</v>
      </c>
      <c r="G36" s="222"/>
      <c r="H36" s="219">
        <v>-2603.5214599999999</v>
      </c>
      <c r="I36" s="222"/>
      <c r="J36" s="219">
        <v>-2933.8214600000001</v>
      </c>
    </row>
    <row r="37" spans="2:10" ht="14.1" hidden="1" customHeight="1" x14ac:dyDescent="0.2">
      <c r="B37" s="183" t="s">
        <v>568</v>
      </c>
      <c r="C37" s="154">
        <f>ROUNDDOWN('OL &amp; Borrowings'!A3,0)</f>
        <v>25</v>
      </c>
      <c r="D37" s="219">
        <v>0</v>
      </c>
      <c r="E37" s="219"/>
      <c r="F37" s="219">
        <v>0</v>
      </c>
      <c r="G37" s="222"/>
      <c r="H37" s="222"/>
      <c r="I37" s="222"/>
      <c r="J37" s="219">
        <v>0</v>
      </c>
    </row>
    <row r="38" spans="2:10" ht="14.1" customHeight="1" x14ac:dyDescent="0.2">
      <c r="B38" s="289" t="s">
        <v>573</v>
      </c>
      <c r="C38" s="99"/>
      <c r="D38" s="207">
        <f>SUM(D33:D37)</f>
        <v>-33804.521460000004</v>
      </c>
      <c r="E38" s="219"/>
      <c r="F38" s="207">
        <f>SUM(F33:F37)</f>
        <v>-35961.821459999999</v>
      </c>
      <c r="G38" s="6"/>
      <c r="H38" s="207">
        <f>SUM(H33:H37)</f>
        <v>-33662.521460000004</v>
      </c>
      <c r="I38" s="6"/>
      <c r="J38" s="207">
        <f>SUM(J33:J37)</f>
        <v>-35889.821459999999</v>
      </c>
    </row>
    <row r="39" spans="2:10" ht="14.1" customHeight="1" thickBot="1" x14ac:dyDescent="0.25">
      <c r="B39" s="289" t="s">
        <v>574</v>
      </c>
      <c r="C39" s="99"/>
      <c r="D39" s="206">
        <f>D31+D38</f>
        <v>119981.58185999999</v>
      </c>
      <c r="E39" s="219"/>
      <c r="F39" s="206">
        <f>F31+F38</f>
        <v>96614.433840000012</v>
      </c>
      <c r="G39" s="6"/>
      <c r="H39" s="206">
        <f>H31+H38</f>
        <v>121672.58185999999</v>
      </c>
      <c r="I39" s="6"/>
      <c r="J39" s="206">
        <f>J31+J38</f>
        <v>98157.433840000012</v>
      </c>
    </row>
    <row r="40" spans="2:10" ht="8.4499999999999993" customHeight="1" thickTop="1" x14ac:dyDescent="0.2">
      <c r="B40" s="289"/>
      <c r="C40" s="99"/>
      <c r="D40" s="25"/>
      <c r="E40" s="219"/>
      <c r="F40" s="25"/>
      <c r="G40" s="6"/>
      <c r="H40" s="6"/>
      <c r="I40" s="6"/>
      <c r="J40" s="6"/>
    </row>
    <row r="41" spans="2:10" ht="14.1" customHeight="1" x14ac:dyDescent="0.2">
      <c r="B41" s="289" t="s">
        <v>575</v>
      </c>
      <c r="C41" s="92"/>
      <c r="D41" s="25"/>
      <c r="E41" s="219"/>
      <c r="F41" s="25"/>
      <c r="G41" s="6"/>
      <c r="H41" s="6"/>
      <c r="I41" s="6"/>
      <c r="J41" s="6"/>
    </row>
    <row r="42" spans="2:10" ht="14.1" customHeight="1" x14ac:dyDescent="0.2">
      <c r="B42" s="183" t="s">
        <v>576</v>
      </c>
      <c r="C42" s="91"/>
      <c r="D42" s="219">
        <v>30317.87</v>
      </c>
      <c r="E42" s="219"/>
      <c r="F42" s="219">
        <v>29692.87</v>
      </c>
      <c r="G42" s="222"/>
      <c r="H42" s="219">
        <v>30317.87</v>
      </c>
      <c r="I42" s="222"/>
      <c r="J42" s="219">
        <v>29692.87</v>
      </c>
    </row>
    <row r="43" spans="2:10" ht="14.1" customHeight="1" x14ac:dyDescent="0.2">
      <c r="B43" s="183" t="s">
        <v>577</v>
      </c>
      <c r="C43" s="91"/>
      <c r="D43" s="219">
        <v>11020.036829999999</v>
      </c>
      <c r="E43" s="219"/>
      <c r="F43" s="219">
        <v>7813.0368299999991</v>
      </c>
      <c r="G43" s="222"/>
      <c r="H43" s="219">
        <v>11020.036829999999</v>
      </c>
      <c r="I43" s="222"/>
      <c r="J43" s="219">
        <v>7813.0368300000009</v>
      </c>
    </row>
    <row r="44" spans="2:10" ht="13.7" hidden="1" customHeight="1" x14ac:dyDescent="0.2">
      <c r="B44" s="183" t="s">
        <v>578</v>
      </c>
      <c r="C44" s="91"/>
      <c r="D44" s="219">
        <v>0</v>
      </c>
      <c r="E44" s="219"/>
      <c r="F44" s="219">
        <v>0</v>
      </c>
      <c r="G44" s="222"/>
      <c r="H44" s="219">
        <v>0</v>
      </c>
      <c r="I44" s="222"/>
      <c r="J44" s="219">
        <v>0</v>
      </c>
    </row>
    <row r="45" spans="2:10" ht="14.1" customHeight="1" x14ac:dyDescent="0.2">
      <c r="B45" s="183" t="s">
        <v>579</v>
      </c>
      <c r="C45" s="91"/>
      <c r="D45" s="219">
        <v>876.68963000000008</v>
      </c>
      <c r="E45" s="219"/>
      <c r="F45" s="219">
        <v>700.68963000000008</v>
      </c>
      <c r="G45" s="222"/>
      <c r="H45" s="219">
        <v>876.68963000000008</v>
      </c>
      <c r="I45" s="222"/>
      <c r="J45" s="219">
        <v>700.68962999999985</v>
      </c>
    </row>
    <row r="46" spans="2:10" ht="14.1" hidden="1" customHeight="1" x14ac:dyDescent="0.2">
      <c r="B46" s="183" t="s">
        <v>580</v>
      </c>
      <c r="C46" s="91"/>
      <c r="D46" s="219">
        <v>0</v>
      </c>
      <c r="E46" s="219"/>
      <c r="F46" s="219">
        <v>0</v>
      </c>
      <c r="G46" s="222"/>
      <c r="H46" s="219">
        <v>0</v>
      </c>
      <c r="I46" s="222"/>
      <c r="J46" s="219">
        <v>0</v>
      </c>
    </row>
    <row r="47" spans="2:10" ht="14.1" customHeight="1" x14ac:dyDescent="0.2">
      <c r="B47" s="183" t="s">
        <v>581</v>
      </c>
      <c r="C47" s="196"/>
      <c r="D47" s="219">
        <v>77767.512847059552</v>
      </c>
      <c r="E47" s="219"/>
      <c r="F47" s="219">
        <v>58407.07864</v>
      </c>
      <c r="G47" s="222"/>
      <c r="H47" s="219">
        <v>79457.982847059553</v>
      </c>
      <c r="I47" s="222"/>
      <c r="J47" s="219">
        <v>59950.07864</v>
      </c>
    </row>
    <row r="48" spans="2:10" ht="14.1" hidden="1" customHeight="1" x14ac:dyDescent="0.2">
      <c r="B48" s="183" t="s">
        <v>582</v>
      </c>
      <c r="C48" s="196"/>
      <c r="D48" s="219">
        <v>0</v>
      </c>
      <c r="E48" s="219"/>
      <c r="F48" s="219">
        <v>0</v>
      </c>
      <c r="G48" s="222"/>
      <c r="H48" s="222"/>
      <c r="I48" s="222"/>
      <c r="J48" s="219">
        <v>0</v>
      </c>
    </row>
    <row r="49" spans="2:10" ht="14.1" hidden="1" customHeight="1" x14ac:dyDescent="0.2">
      <c r="B49" s="183" t="s">
        <v>583</v>
      </c>
      <c r="C49" s="196">
        <f>'Interests&amp;Inventory'!A7</f>
        <v>22</v>
      </c>
      <c r="D49" s="219">
        <v>0</v>
      </c>
      <c r="E49" s="219"/>
      <c r="F49" s="219">
        <v>0</v>
      </c>
      <c r="G49" s="222"/>
      <c r="H49" s="222"/>
      <c r="I49" s="222"/>
      <c r="J49" s="222"/>
    </row>
    <row r="50" spans="2:10" ht="14.1" customHeight="1" thickBot="1" x14ac:dyDescent="0.25">
      <c r="B50" s="289" t="s">
        <v>584</v>
      </c>
      <c r="C50" s="90"/>
      <c r="D50" s="206">
        <f>SUM(D42:D49)</f>
        <v>119982.10930705955</v>
      </c>
      <c r="E50" s="219"/>
      <c r="F50" s="206">
        <f>SUM(F42:F49)</f>
        <v>96613.675099999993</v>
      </c>
      <c r="G50" s="222"/>
      <c r="H50" s="206">
        <f>SUM(H42:H49)</f>
        <v>121672.57930705955</v>
      </c>
      <c r="I50" s="222"/>
      <c r="J50" s="206">
        <f>SUM(J42:J49)</f>
        <v>98156.675099999993</v>
      </c>
    </row>
    <row r="51" spans="2:10" ht="7.5" customHeight="1" thickTop="1" x14ac:dyDescent="0.2">
      <c r="B51" s="13"/>
      <c r="C51" s="87"/>
      <c r="D51" s="222"/>
      <c r="E51" s="219"/>
      <c r="F51" s="222"/>
      <c r="G51" s="222"/>
    </row>
    <row r="52" spans="2:10" x14ac:dyDescent="0.2">
      <c r="B52" s="436" t="s">
        <v>1457</v>
      </c>
      <c r="C52" s="87"/>
      <c r="D52" s="222"/>
      <c r="E52" s="219"/>
      <c r="F52" s="222"/>
      <c r="G52" s="222"/>
    </row>
    <row r="53" spans="2:10" x14ac:dyDescent="0.2">
      <c r="B53" s="313"/>
      <c r="C53" s="88"/>
      <c r="D53" s="222"/>
      <c r="E53" s="219"/>
      <c r="F53" s="222"/>
      <c r="G53" s="222"/>
    </row>
    <row r="54" spans="2:10" x14ac:dyDescent="0.2">
      <c r="B54" s="313"/>
      <c r="C54" s="89"/>
      <c r="D54" s="222"/>
      <c r="E54" s="219"/>
      <c r="F54" s="222"/>
      <c r="G54" s="222"/>
    </row>
    <row r="55" spans="2:10" x14ac:dyDescent="0.2">
      <c r="B55" s="314" t="s">
        <v>585</v>
      </c>
      <c r="D55" s="222"/>
      <c r="E55" s="219"/>
      <c r="F55" s="222"/>
      <c r="G55" s="222"/>
    </row>
    <row r="56" spans="2:10" x14ac:dyDescent="0.2">
      <c r="B56" s="314" t="s">
        <v>586</v>
      </c>
      <c r="D56" s="222"/>
      <c r="E56" s="219"/>
      <c r="F56" s="222"/>
      <c r="G56" s="222"/>
    </row>
    <row r="57" spans="2:10" x14ac:dyDescent="0.2">
      <c r="B57" s="314" t="s">
        <v>498</v>
      </c>
      <c r="C57" s="167" t="str">
        <f>TEXT(ApprovalDate, "d mmmm yyyy")</f>
        <v>TBC</v>
      </c>
      <c r="D57" s="222"/>
      <c r="E57" s="219"/>
      <c r="F57" s="222"/>
      <c r="G57" s="222"/>
    </row>
    <row r="58" spans="2:10" x14ac:dyDescent="0.2">
      <c r="B58" s="313"/>
      <c r="D58" s="222"/>
      <c r="E58" s="219"/>
      <c r="F58" s="222"/>
      <c r="G58" s="1"/>
    </row>
  </sheetData>
  <customSheetViews>
    <customSheetView guid="{EDC1BD6E-863A-4FC6-A3A9-F32079F4F0C1}" fitToPage="1" topLeftCell="A16">
      <selection activeCell="L29" sqref="L29"/>
      <pageMargins left="0" right="0" top="0" bottom="0" header="0" footer="0"/>
      <pageSetup paperSize="9" scale="95" orientation="portrait" r:id="rId1"/>
      <headerFooter>
        <oddHeader>&amp;LINSERT YOUR NHS Foundation Trust&amp;RStatement of accounts 2014/15</oddHeader>
      </headerFooter>
    </customSheetView>
  </customSheetViews>
  <mergeCells count="2">
    <mergeCell ref="D3:F3"/>
    <mergeCell ref="H3:J3"/>
  </mergeCells>
  <pageMargins left="0.70866141732283472" right="0.70866141732283472" top="0.74803149606299213" bottom="0.74803149606299213" header="0.31496062992125984" footer="0.31496062992125984"/>
  <pageSetup paperSize="9" scale="87" fitToHeight="0" orientation="portrait" r:id="rId2"/>
  <headerFooter>
    <oddFooter>&amp;RPage &amp;P of &amp;N</oddFooter>
  </headerFooter>
  <ignoredErrors>
    <ignoredError sqref="D5:J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tabColor theme="8" tint="0.39997558519241921"/>
    <pageSetUpPr fitToPage="1"/>
  </sheetPr>
  <dimension ref="A1:J128"/>
  <sheetViews>
    <sheetView showGridLines="0" zoomScaleNormal="100" zoomScaleSheetLayoutView="100" workbookViewId="0">
      <selection activeCell="C47" sqref="C47:C48"/>
    </sheetView>
  </sheetViews>
  <sheetFormatPr defaultColWidth="9.140625" defaultRowHeight="12" x14ac:dyDescent="0.2"/>
  <cols>
    <col min="1" max="1" width="48" style="3" customWidth="1"/>
    <col min="2" max="2" width="8.85546875" style="3" customWidth="1"/>
    <col min="3" max="3" width="10.28515625" style="3" customWidth="1"/>
    <col min="4" max="4" width="10.140625" style="3" hidden="1" customWidth="1"/>
    <col min="5" max="5" width="8.42578125" style="3" customWidth="1"/>
    <col min="6" max="6" width="8.42578125" style="3" hidden="1" customWidth="1"/>
    <col min="7" max="7" width="10.85546875" style="3" customWidth="1"/>
    <col min="8" max="8" width="9.140625" style="3" hidden="1" customWidth="1"/>
    <col min="9" max="9" width="9.28515625" style="3" hidden="1" customWidth="1"/>
    <col min="10" max="10" width="9" style="3" customWidth="1"/>
    <col min="11" max="16384" width="9.140625" style="3"/>
  </cols>
  <sheetData>
    <row r="1" spans="1:10" s="222" customFormat="1" ht="12.75" x14ac:dyDescent="0.2">
      <c r="A1" s="350" t="s">
        <v>1310</v>
      </c>
      <c r="B1" s="351"/>
      <c r="C1" s="351"/>
      <c r="D1" s="351"/>
      <c r="E1" s="351"/>
      <c r="F1" s="351"/>
      <c r="G1" s="351"/>
      <c r="H1" s="351"/>
      <c r="I1" s="351"/>
      <c r="J1" s="351"/>
    </row>
    <row r="2" spans="1:10" s="222" customFormat="1" x14ac:dyDescent="0.2"/>
    <row r="3" spans="1:10" ht="15.75" customHeight="1" x14ac:dyDescent="0.25">
      <c r="A3" s="132" t="str">
        <f>"Consolidated Statement of Changes in Equity for the year ended " &amp; TEXT(CurrentYearEnd, "d mmmm yyyy")</f>
        <v>Consolidated Statement of Changes in Equity for the year ended 31 March 2022</v>
      </c>
      <c r="B3" s="6"/>
      <c r="C3" s="6"/>
      <c r="D3" s="6"/>
      <c r="E3" s="6"/>
      <c r="F3" s="6"/>
      <c r="G3" s="6"/>
      <c r="H3" s="6"/>
      <c r="I3" s="6"/>
      <c r="J3" s="6"/>
    </row>
    <row r="4" spans="1:10" ht="14.1" customHeight="1" x14ac:dyDescent="0.2">
      <c r="A4" s="289"/>
      <c r="B4" s="6"/>
      <c r="C4" s="6"/>
      <c r="D4" s="6"/>
      <c r="E4" s="6"/>
      <c r="F4" s="6"/>
      <c r="G4" s="6"/>
      <c r="H4" s="6"/>
      <c r="I4" s="6"/>
      <c r="J4" s="6"/>
    </row>
    <row r="5" spans="1:10" ht="36" x14ac:dyDescent="0.2">
      <c r="A5" s="316" t="s">
        <v>500</v>
      </c>
      <c r="B5" s="290" t="s">
        <v>576</v>
      </c>
      <c r="C5" s="290" t="s">
        <v>577</v>
      </c>
      <c r="D5" s="290" t="s">
        <v>587</v>
      </c>
      <c r="E5" s="290" t="s">
        <v>579</v>
      </c>
      <c r="F5" s="290" t="s">
        <v>580</v>
      </c>
      <c r="G5" s="290" t="s">
        <v>581</v>
      </c>
      <c r="H5" s="290" t="s">
        <v>583</v>
      </c>
      <c r="I5" s="290" t="s">
        <v>588</v>
      </c>
      <c r="J5" s="290" t="s">
        <v>589</v>
      </c>
    </row>
    <row r="6" spans="1:10" ht="14.1" customHeight="1" x14ac:dyDescent="0.2">
      <c r="A6" s="316"/>
      <c r="B6" s="290" t="s">
        <v>590</v>
      </c>
      <c r="C6" s="290" t="s">
        <v>590</v>
      </c>
      <c r="D6" s="290" t="s">
        <v>590</v>
      </c>
      <c r="E6" s="290" t="s">
        <v>590</v>
      </c>
      <c r="F6" s="290" t="s">
        <v>590</v>
      </c>
      <c r="G6" s="290" t="s">
        <v>590</v>
      </c>
      <c r="H6" s="290" t="s">
        <v>590</v>
      </c>
      <c r="I6" s="290" t="s">
        <v>590</v>
      </c>
      <c r="J6" s="290" t="s">
        <v>590</v>
      </c>
    </row>
    <row r="7" spans="1:10" ht="25.5" customHeight="1" x14ac:dyDescent="0.2">
      <c r="A7" s="316" t="str">
        <f>"Taxpayers' and others' equity at " &amp; TEXT(CurrentYearStart,"d mmmm yyyy") &amp;" - brought forward"</f>
        <v>Taxpayers' and others' equity at 1 April 2021 - brought forward</v>
      </c>
      <c r="B7" s="220">
        <f>B63</f>
        <v>29692.87</v>
      </c>
      <c r="C7" s="220">
        <f t="shared" ref="C7:I7" si="0">C63</f>
        <v>7813.0368299999991</v>
      </c>
      <c r="D7" s="220">
        <f t="shared" si="0"/>
        <v>0</v>
      </c>
      <c r="E7" s="220">
        <f t="shared" si="0"/>
        <v>700.68963000000008</v>
      </c>
      <c r="F7" s="220">
        <f t="shared" si="0"/>
        <v>0</v>
      </c>
      <c r="G7" s="220">
        <f t="shared" si="0"/>
        <v>58407.07864</v>
      </c>
      <c r="H7" s="220">
        <f t="shared" si="0"/>
        <v>0</v>
      </c>
      <c r="I7" s="220">
        <f t="shared" si="0"/>
        <v>0</v>
      </c>
      <c r="J7" s="220">
        <f>SUM(B7:I7)</f>
        <v>96613.675099999993</v>
      </c>
    </row>
    <row r="8" spans="1:10" ht="14.1" hidden="1" customHeight="1" x14ac:dyDescent="0.2">
      <c r="A8" s="289" t="s">
        <v>591</v>
      </c>
      <c r="B8" s="220">
        <v>0</v>
      </c>
      <c r="C8" s="220">
        <v>0</v>
      </c>
      <c r="D8" s="220">
        <v>0</v>
      </c>
      <c r="E8" s="220">
        <v>0</v>
      </c>
      <c r="F8" s="220">
        <v>0</v>
      </c>
      <c r="G8" s="220">
        <v>0</v>
      </c>
      <c r="H8" s="220">
        <v>0</v>
      </c>
      <c r="I8" s="220">
        <v>0</v>
      </c>
      <c r="J8" s="220">
        <f t="shared" ref="J8:J13" si="1">SUM(B8:I8)</f>
        <v>0</v>
      </c>
    </row>
    <row r="9" spans="1:10" ht="13.5" customHeight="1" x14ac:dyDescent="0.2">
      <c r="A9" s="327" t="s">
        <v>1343</v>
      </c>
      <c r="B9" s="219">
        <v>0</v>
      </c>
      <c r="C9" s="219">
        <v>0</v>
      </c>
      <c r="D9" s="219">
        <v>0</v>
      </c>
      <c r="E9" s="219">
        <v>0</v>
      </c>
      <c r="F9" s="219">
        <v>0</v>
      </c>
      <c r="G9" s="219">
        <v>19360.434207059559</v>
      </c>
      <c r="H9" s="219">
        <v>0</v>
      </c>
      <c r="I9" s="219">
        <v>0</v>
      </c>
      <c r="J9" s="220">
        <f t="shared" si="1"/>
        <v>19360.434207059559</v>
      </c>
    </row>
    <row r="10" spans="1:10" s="222" customFormat="1" ht="12" hidden="1" customHeight="1" x14ac:dyDescent="0.2">
      <c r="A10" s="130" t="s">
        <v>593</v>
      </c>
      <c r="B10" s="219">
        <v>0</v>
      </c>
      <c r="C10" s="219">
        <v>0</v>
      </c>
      <c r="D10" s="219">
        <v>0</v>
      </c>
      <c r="E10" s="219">
        <v>0</v>
      </c>
      <c r="F10" s="219">
        <v>0</v>
      </c>
      <c r="G10" s="219">
        <v>0</v>
      </c>
      <c r="H10" s="219">
        <v>0</v>
      </c>
      <c r="I10" s="219">
        <v>0</v>
      </c>
      <c r="J10" s="220">
        <f t="shared" ref="J10" si="2">SUM(B10:I10)</f>
        <v>0</v>
      </c>
    </row>
    <row r="11" spans="1:10" ht="12" hidden="1" customHeight="1" x14ac:dyDescent="0.2">
      <c r="A11" s="327" t="s">
        <v>594</v>
      </c>
      <c r="B11" s="219">
        <v>0</v>
      </c>
      <c r="C11" s="219">
        <v>0</v>
      </c>
      <c r="D11" s="219">
        <v>0</v>
      </c>
      <c r="E11" s="219">
        <v>0</v>
      </c>
      <c r="F11" s="219">
        <v>0</v>
      </c>
      <c r="G11" s="219">
        <v>0</v>
      </c>
      <c r="H11" s="219">
        <v>0</v>
      </c>
      <c r="I11" s="219">
        <v>0</v>
      </c>
      <c r="J11" s="220">
        <f t="shared" si="1"/>
        <v>0</v>
      </c>
    </row>
    <row r="12" spans="1:10" ht="36" hidden="1" x14ac:dyDescent="0.2">
      <c r="A12" s="327" t="s">
        <v>595</v>
      </c>
      <c r="B12" s="219">
        <v>0</v>
      </c>
      <c r="C12" s="219">
        <v>0</v>
      </c>
      <c r="D12" s="219">
        <v>0</v>
      </c>
      <c r="E12" s="219">
        <v>0</v>
      </c>
      <c r="F12" s="219">
        <v>0</v>
      </c>
      <c r="G12" s="219">
        <v>0</v>
      </c>
      <c r="H12" s="219">
        <v>0</v>
      </c>
      <c r="I12" s="219">
        <v>0</v>
      </c>
      <c r="J12" s="220">
        <f t="shared" si="1"/>
        <v>0</v>
      </c>
    </row>
    <row r="13" spans="1:10" ht="12" hidden="1" customHeight="1" x14ac:dyDescent="0.2">
      <c r="A13" s="327" t="s">
        <v>596</v>
      </c>
      <c r="B13" s="219">
        <v>0</v>
      </c>
      <c r="C13" s="219">
        <v>0</v>
      </c>
      <c r="D13" s="219">
        <v>0</v>
      </c>
      <c r="E13" s="219">
        <v>0</v>
      </c>
      <c r="F13" s="219">
        <v>0</v>
      </c>
      <c r="G13" s="219">
        <v>0</v>
      </c>
      <c r="H13" s="219">
        <v>0</v>
      </c>
      <c r="I13" s="219">
        <v>0</v>
      </c>
      <c r="J13" s="220">
        <f t="shared" si="1"/>
        <v>0</v>
      </c>
    </row>
    <row r="14" spans="1:10" x14ac:dyDescent="0.2">
      <c r="A14" s="327" t="s">
        <v>597</v>
      </c>
      <c r="B14" s="219">
        <v>0</v>
      </c>
      <c r="C14" s="219">
        <v>-29</v>
      </c>
      <c r="D14" s="219">
        <v>0</v>
      </c>
      <c r="E14" s="219">
        <v>0</v>
      </c>
      <c r="F14" s="219">
        <v>0</v>
      </c>
      <c r="G14" s="219">
        <v>0</v>
      </c>
      <c r="H14" s="219">
        <v>0</v>
      </c>
      <c r="I14" s="219">
        <v>0</v>
      </c>
      <c r="J14" s="220">
        <f t="shared" ref="J14:J29" si="3">SUM(B14:I14)</f>
        <v>-29</v>
      </c>
    </row>
    <row r="15" spans="1:10" ht="14.1" customHeight="1" x14ac:dyDescent="0.2">
      <c r="A15" s="327" t="s">
        <v>518</v>
      </c>
      <c r="B15" s="219">
        <v>0</v>
      </c>
      <c r="C15" s="219">
        <v>3236</v>
      </c>
      <c r="D15" s="219">
        <v>0</v>
      </c>
      <c r="E15" s="219">
        <v>0</v>
      </c>
      <c r="F15" s="219">
        <v>0</v>
      </c>
      <c r="G15" s="219">
        <v>0</v>
      </c>
      <c r="H15" s="219">
        <v>0</v>
      </c>
      <c r="I15" s="219">
        <v>0</v>
      </c>
      <c r="J15" s="220">
        <f t="shared" si="3"/>
        <v>3236</v>
      </c>
    </row>
    <row r="16" spans="1:10" ht="12" hidden="1" customHeight="1" x14ac:dyDescent="0.2">
      <c r="A16" s="327" t="s">
        <v>598</v>
      </c>
      <c r="B16" s="219">
        <v>0</v>
      </c>
      <c r="C16" s="219">
        <v>0</v>
      </c>
      <c r="D16" s="219">
        <v>0</v>
      </c>
      <c r="E16" s="219">
        <v>0</v>
      </c>
      <c r="F16" s="219">
        <v>0</v>
      </c>
      <c r="G16" s="219">
        <v>0</v>
      </c>
      <c r="H16" s="219">
        <v>0</v>
      </c>
      <c r="I16" s="219">
        <v>0</v>
      </c>
      <c r="J16" s="220">
        <f t="shared" si="3"/>
        <v>0</v>
      </c>
    </row>
    <row r="17" spans="1:10" ht="12" hidden="1" customHeight="1" x14ac:dyDescent="0.2">
      <c r="A17" s="327" t="s">
        <v>599</v>
      </c>
      <c r="B17" s="219">
        <v>0</v>
      </c>
      <c r="C17" s="219">
        <v>0</v>
      </c>
      <c r="D17" s="219">
        <v>0</v>
      </c>
      <c r="E17" s="219">
        <v>0</v>
      </c>
      <c r="F17" s="219">
        <v>0</v>
      </c>
      <c r="G17" s="219">
        <v>0</v>
      </c>
      <c r="H17" s="219">
        <v>0</v>
      </c>
      <c r="I17" s="219">
        <v>0</v>
      </c>
      <c r="J17" s="220">
        <f t="shared" si="3"/>
        <v>0</v>
      </c>
    </row>
    <row r="18" spans="1:10" s="222" customFormat="1" ht="24" hidden="1" customHeight="1" x14ac:dyDescent="0.2">
      <c r="A18" s="327" t="s">
        <v>519</v>
      </c>
      <c r="B18" s="219">
        <v>0</v>
      </c>
      <c r="C18" s="219">
        <v>0</v>
      </c>
      <c r="D18" s="219">
        <v>0</v>
      </c>
      <c r="E18" s="219">
        <v>0</v>
      </c>
      <c r="F18" s="219">
        <v>0</v>
      </c>
      <c r="G18" s="219">
        <v>0</v>
      </c>
      <c r="H18" s="219">
        <v>0</v>
      </c>
      <c r="I18" s="219">
        <v>0</v>
      </c>
      <c r="J18" s="220">
        <f t="shared" si="3"/>
        <v>0</v>
      </c>
    </row>
    <row r="19" spans="1:10" s="222" customFormat="1" ht="24" hidden="1" customHeight="1" x14ac:dyDescent="0.2">
      <c r="A19" s="327" t="s">
        <v>526</v>
      </c>
      <c r="B19" s="219">
        <v>0</v>
      </c>
      <c r="C19" s="219">
        <v>0</v>
      </c>
      <c r="D19" s="219">
        <v>0</v>
      </c>
      <c r="E19" s="219">
        <v>0</v>
      </c>
      <c r="F19" s="219">
        <v>0</v>
      </c>
      <c r="G19" s="219">
        <v>0</v>
      </c>
      <c r="H19" s="219">
        <v>0</v>
      </c>
      <c r="I19" s="219">
        <v>0</v>
      </c>
      <c r="J19" s="220">
        <f t="shared" si="3"/>
        <v>0</v>
      </c>
    </row>
    <row r="20" spans="1:10" s="222" customFormat="1" ht="24" hidden="1" customHeight="1" x14ac:dyDescent="0.2">
      <c r="A20" s="327" t="s">
        <v>600</v>
      </c>
      <c r="B20" s="219">
        <v>0</v>
      </c>
      <c r="C20" s="219">
        <v>0</v>
      </c>
      <c r="D20" s="219">
        <v>0</v>
      </c>
      <c r="E20" s="219">
        <v>0</v>
      </c>
      <c r="F20" s="219">
        <v>0</v>
      </c>
      <c r="G20" s="219">
        <v>0</v>
      </c>
      <c r="H20" s="219">
        <v>0</v>
      </c>
      <c r="I20" s="219">
        <v>0</v>
      </c>
      <c r="J20" s="220">
        <f t="shared" si="3"/>
        <v>0</v>
      </c>
    </row>
    <row r="21" spans="1:10" ht="24" hidden="1" customHeight="1" x14ac:dyDescent="0.2">
      <c r="A21" s="327" t="s">
        <v>527</v>
      </c>
      <c r="B21" s="219">
        <v>0</v>
      </c>
      <c r="C21" s="219">
        <v>0</v>
      </c>
      <c r="D21" s="219">
        <v>0</v>
      </c>
      <c r="E21" s="219">
        <v>0</v>
      </c>
      <c r="F21" s="219">
        <v>0</v>
      </c>
      <c r="G21" s="219">
        <v>0</v>
      </c>
      <c r="H21" s="219">
        <v>0</v>
      </c>
      <c r="I21" s="219">
        <v>0</v>
      </c>
      <c r="J21" s="220">
        <f t="shared" si="3"/>
        <v>0</v>
      </c>
    </row>
    <row r="22" spans="1:10" ht="13.5" customHeight="1" x14ac:dyDescent="0.2">
      <c r="A22" s="327" t="s">
        <v>1408</v>
      </c>
      <c r="B22" s="219">
        <v>0</v>
      </c>
      <c r="C22" s="219">
        <v>0</v>
      </c>
      <c r="D22" s="219">
        <v>0</v>
      </c>
      <c r="E22" s="219">
        <v>176</v>
      </c>
      <c r="F22" s="219">
        <v>0</v>
      </c>
      <c r="G22" s="219">
        <v>0</v>
      </c>
      <c r="H22" s="219">
        <v>0</v>
      </c>
      <c r="I22" s="219">
        <v>0</v>
      </c>
      <c r="J22" s="220">
        <f t="shared" si="3"/>
        <v>176</v>
      </c>
    </row>
    <row r="23" spans="1:10" ht="12" hidden="1" customHeight="1" x14ac:dyDescent="0.2">
      <c r="A23" s="327" t="s">
        <v>521</v>
      </c>
      <c r="B23" s="219">
        <v>0</v>
      </c>
      <c r="C23" s="219">
        <v>0</v>
      </c>
      <c r="D23" s="219">
        <v>0</v>
      </c>
      <c r="E23" s="219">
        <v>0</v>
      </c>
      <c r="F23" s="219">
        <v>0</v>
      </c>
      <c r="G23" s="219">
        <v>0</v>
      </c>
      <c r="H23" s="219">
        <v>0</v>
      </c>
      <c r="I23" s="219">
        <v>0</v>
      </c>
      <c r="J23" s="220">
        <f t="shared" si="3"/>
        <v>0</v>
      </c>
    </row>
    <row r="24" spans="1:10" ht="24" hidden="1" customHeight="1" x14ac:dyDescent="0.2">
      <c r="A24" s="327" t="s">
        <v>601</v>
      </c>
      <c r="B24" s="219">
        <v>0</v>
      </c>
      <c r="C24" s="219">
        <v>0</v>
      </c>
      <c r="D24" s="219">
        <v>0</v>
      </c>
      <c r="E24" s="219">
        <v>0</v>
      </c>
      <c r="F24" s="219">
        <v>0</v>
      </c>
      <c r="G24" s="219">
        <v>0</v>
      </c>
      <c r="H24" s="219">
        <v>0</v>
      </c>
      <c r="I24" s="219">
        <v>0</v>
      </c>
      <c r="J24" s="220">
        <f t="shared" si="3"/>
        <v>0</v>
      </c>
    </row>
    <row r="25" spans="1:10" ht="14.1" customHeight="1" x14ac:dyDescent="0.2">
      <c r="A25" s="327" t="s">
        <v>602</v>
      </c>
      <c r="B25" s="219">
        <v>625</v>
      </c>
      <c r="C25" s="219">
        <v>0</v>
      </c>
      <c r="D25" s="219">
        <v>0</v>
      </c>
      <c r="E25" s="219">
        <v>0</v>
      </c>
      <c r="F25" s="219">
        <v>0</v>
      </c>
      <c r="G25" s="219">
        <v>0</v>
      </c>
      <c r="H25" s="219">
        <v>0</v>
      </c>
      <c r="I25" s="219">
        <v>0</v>
      </c>
      <c r="J25" s="220">
        <f t="shared" si="3"/>
        <v>625</v>
      </c>
    </row>
    <row r="26" spans="1:10" ht="14.1" hidden="1" customHeight="1" x14ac:dyDescent="0.2">
      <c r="A26" s="327" t="s">
        <v>603</v>
      </c>
      <c r="B26" s="219">
        <v>0</v>
      </c>
      <c r="C26" s="219">
        <v>0</v>
      </c>
      <c r="D26" s="219">
        <v>0</v>
      </c>
      <c r="E26" s="219">
        <v>0</v>
      </c>
      <c r="F26" s="219">
        <v>0</v>
      </c>
      <c r="G26" s="219">
        <v>0</v>
      </c>
      <c r="H26" s="219">
        <v>0</v>
      </c>
      <c r="I26" s="219">
        <v>0</v>
      </c>
      <c r="J26" s="220">
        <f t="shared" si="3"/>
        <v>0</v>
      </c>
    </row>
    <row r="27" spans="1:10" ht="14.1" hidden="1" customHeight="1" x14ac:dyDescent="0.2">
      <c r="A27" s="327" t="s">
        <v>604</v>
      </c>
      <c r="B27" s="219">
        <v>0</v>
      </c>
      <c r="C27" s="219">
        <v>0</v>
      </c>
      <c r="D27" s="219">
        <v>0</v>
      </c>
      <c r="E27" s="219">
        <v>0</v>
      </c>
      <c r="F27" s="219">
        <v>0</v>
      </c>
      <c r="G27" s="219">
        <v>0</v>
      </c>
      <c r="H27" s="219">
        <v>0</v>
      </c>
      <c r="I27" s="219">
        <v>0</v>
      </c>
      <c r="J27" s="220">
        <f t="shared" si="3"/>
        <v>0</v>
      </c>
    </row>
    <row r="28" spans="1:10" ht="14.1" hidden="1" customHeight="1" x14ac:dyDescent="0.2">
      <c r="A28" s="327" t="s">
        <v>605</v>
      </c>
      <c r="B28" s="219">
        <v>0</v>
      </c>
      <c r="C28" s="219">
        <v>0</v>
      </c>
      <c r="D28" s="219">
        <v>0</v>
      </c>
      <c r="E28" s="219">
        <v>0</v>
      </c>
      <c r="F28" s="219">
        <v>0</v>
      </c>
      <c r="G28" s="219">
        <v>0</v>
      </c>
      <c r="H28" s="219">
        <v>0</v>
      </c>
      <c r="I28" s="219">
        <v>0</v>
      </c>
      <c r="J28" s="220">
        <f t="shared" si="3"/>
        <v>0</v>
      </c>
    </row>
    <row r="29" spans="1:10" ht="14.1" hidden="1" customHeight="1" x14ac:dyDescent="0.2">
      <c r="A29" s="327" t="s">
        <v>524</v>
      </c>
      <c r="B29" s="219">
        <v>0</v>
      </c>
      <c r="C29" s="219">
        <v>0</v>
      </c>
      <c r="D29" s="219">
        <v>0</v>
      </c>
      <c r="E29" s="219">
        <v>0</v>
      </c>
      <c r="F29" s="219">
        <v>0</v>
      </c>
      <c r="G29" s="219">
        <v>0</v>
      </c>
      <c r="H29" s="219">
        <v>0</v>
      </c>
      <c r="I29" s="219">
        <v>0</v>
      </c>
      <c r="J29" s="220">
        <f t="shared" si="3"/>
        <v>0</v>
      </c>
    </row>
    <row r="30" spans="1:10" ht="13.7" customHeight="1" thickBot="1" x14ac:dyDescent="0.25">
      <c r="A30" s="289" t="str">
        <f>"Taxpayers' and others' equity at " &amp; TEXT(CurrentYearEnd, "d mmmm yyyy")</f>
        <v>Taxpayers' and others' equity at 31 March 2022</v>
      </c>
      <c r="B30" s="206">
        <f t="shared" ref="B30:J30" si="4">SUM(B7:B29)</f>
        <v>30317.87</v>
      </c>
      <c r="C30" s="206">
        <f t="shared" si="4"/>
        <v>11020.036829999999</v>
      </c>
      <c r="D30" s="206">
        <f t="shared" si="4"/>
        <v>0</v>
      </c>
      <c r="E30" s="206">
        <f t="shared" si="4"/>
        <v>876.68963000000008</v>
      </c>
      <c r="F30" s="206">
        <f t="shared" si="4"/>
        <v>0</v>
      </c>
      <c r="G30" s="206">
        <f t="shared" si="4"/>
        <v>77767.512847059552</v>
      </c>
      <c r="H30" s="206">
        <f t="shared" si="4"/>
        <v>0</v>
      </c>
      <c r="I30" s="206">
        <f t="shared" si="4"/>
        <v>0</v>
      </c>
      <c r="J30" s="206">
        <f t="shared" si="4"/>
        <v>119982.10930705955</v>
      </c>
    </row>
    <row r="31" spans="1:10" ht="13.7" customHeight="1" thickTop="1" x14ac:dyDescent="0.2">
      <c r="A31" s="316"/>
      <c r="B31" s="188"/>
      <c r="C31" s="188"/>
      <c r="D31" s="188"/>
      <c r="E31" s="188"/>
      <c r="F31" s="188"/>
      <c r="G31" s="188"/>
      <c r="H31" s="188"/>
      <c r="I31" s="188"/>
      <c r="J31" s="188"/>
    </row>
    <row r="32" spans="1:10" s="222" customFormat="1" ht="13.7" customHeight="1" x14ac:dyDescent="0.2">
      <c r="A32" s="241"/>
      <c r="B32" s="188"/>
      <c r="C32" s="188"/>
      <c r="D32" s="188"/>
      <c r="E32" s="188"/>
      <c r="F32" s="188"/>
      <c r="G32" s="188"/>
      <c r="H32" s="188"/>
      <c r="I32" s="188"/>
      <c r="J32" s="188"/>
    </row>
    <row r="33" spans="1:10" s="222" customFormat="1" ht="13.7" customHeight="1" x14ac:dyDescent="0.2">
      <c r="A33" s="316"/>
      <c r="B33" s="188"/>
      <c r="C33" s="188"/>
      <c r="D33" s="188"/>
      <c r="E33" s="188"/>
      <c r="F33" s="188"/>
      <c r="G33" s="188"/>
      <c r="H33" s="188"/>
      <c r="I33" s="188"/>
      <c r="J33" s="188"/>
    </row>
    <row r="34" spans="1:10" ht="15.75" customHeight="1" x14ac:dyDescent="0.25">
      <c r="A34" s="132" t="str">
        <f>"Consolidated Statement of Changes in Equity for the year ended " &amp; TEXT(ComparativeYearEnd, "d mmmm yyyy")</f>
        <v>Consolidated Statement of Changes in Equity for the year ended 31 March 2021</v>
      </c>
      <c r="B34" s="6"/>
      <c r="C34" s="6"/>
      <c r="D34" s="6"/>
      <c r="E34" s="6"/>
      <c r="F34" s="6"/>
      <c r="G34" s="6"/>
      <c r="H34" s="6"/>
      <c r="I34" s="6"/>
      <c r="J34" s="6"/>
    </row>
    <row r="35" spans="1:10" ht="14.1" customHeight="1" x14ac:dyDescent="0.2">
      <c r="A35" s="289"/>
      <c r="B35" s="6"/>
      <c r="C35" s="6"/>
      <c r="D35" s="6"/>
      <c r="E35" s="6"/>
      <c r="F35" s="6"/>
      <c r="G35" s="6"/>
      <c r="H35" s="6"/>
      <c r="I35" s="6"/>
      <c r="J35" s="6"/>
    </row>
    <row r="36" spans="1:10" ht="36" x14ac:dyDescent="0.2">
      <c r="A36" s="316" t="s">
        <v>500</v>
      </c>
      <c r="B36" s="290" t="s">
        <v>576</v>
      </c>
      <c r="C36" s="290" t="s">
        <v>577</v>
      </c>
      <c r="D36" s="290" t="s">
        <v>587</v>
      </c>
      <c r="E36" s="290" t="s">
        <v>579</v>
      </c>
      <c r="F36" s="290" t="s">
        <v>580</v>
      </c>
      <c r="G36" s="290" t="s">
        <v>581</v>
      </c>
      <c r="H36" s="290" t="s">
        <v>583</v>
      </c>
      <c r="I36" s="290" t="s">
        <v>588</v>
      </c>
      <c r="J36" s="290" t="s">
        <v>589</v>
      </c>
    </row>
    <row r="37" spans="1:10" ht="14.1" customHeight="1" x14ac:dyDescent="0.2">
      <c r="A37" s="316"/>
      <c r="B37" s="290" t="s">
        <v>590</v>
      </c>
      <c r="C37" s="290" t="s">
        <v>590</v>
      </c>
      <c r="D37" s="290" t="s">
        <v>590</v>
      </c>
      <c r="E37" s="290" t="s">
        <v>590</v>
      </c>
      <c r="F37" s="290" t="s">
        <v>590</v>
      </c>
      <c r="G37" s="290" t="s">
        <v>590</v>
      </c>
      <c r="H37" s="290" t="s">
        <v>590</v>
      </c>
      <c r="I37" s="290" t="s">
        <v>590</v>
      </c>
      <c r="J37" s="290" t="s">
        <v>590</v>
      </c>
    </row>
    <row r="38" spans="1:10" ht="25.5" customHeight="1" x14ac:dyDescent="0.2">
      <c r="A38" s="316" t="str">
        <f>"Taxpayers' and others' equity at " &amp; TEXT(ComparativeYearStart, "d mmmm yyyy") &amp;" - brought forward"</f>
        <v>Taxpayers' and others' equity at 1 April 2020 - brought forward</v>
      </c>
      <c r="B38" s="220">
        <v>27530.87</v>
      </c>
      <c r="C38" s="220">
        <v>8333.0368299999991</v>
      </c>
      <c r="D38" s="220">
        <v>0</v>
      </c>
      <c r="E38" s="220">
        <v>1177.6896300000001</v>
      </c>
      <c r="F38" s="220">
        <v>0</v>
      </c>
      <c r="G38" s="220">
        <v>53033.07864</v>
      </c>
      <c r="H38" s="220">
        <v>0</v>
      </c>
      <c r="I38" s="220">
        <v>0</v>
      </c>
      <c r="J38" s="220">
        <f>SUM(B38:I38)</f>
        <v>90074.675099999993</v>
      </c>
    </row>
    <row r="39" spans="1:10" ht="13.7" hidden="1" customHeight="1" x14ac:dyDescent="0.2">
      <c r="A39" s="327" t="s">
        <v>606</v>
      </c>
      <c r="B39" s="219">
        <v>0</v>
      </c>
      <c r="C39" s="219">
        <v>0</v>
      </c>
      <c r="D39" s="219">
        <v>0</v>
      </c>
      <c r="E39" s="219">
        <v>0</v>
      </c>
      <c r="F39" s="219">
        <v>0</v>
      </c>
      <c r="G39" s="219">
        <v>0</v>
      </c>
      <c r="H39" s="219">
        <v>0</v>
      </c>
      <c r="I39" s="219">
        <v>0</v>
      </c>
      <c r="J39" s="220">
        <f>SUM(B39:I39)</f>
        <v>0</v>
      </c>
    </row>
    <row r="40" spans="1:10" ht="14.1" hidden="1" customHeight="1" x14ac:dyDescent="0.2">
      <c r="A40" s="289" t="str">
        <f>"Taxpayers' and others' equity at " &amp; TEXT(ComparativeYearStart, "d mmmm yyyy") &amp;" - restated"</f>
        <v>Taxpayers' and others' equity at 1 April 2020 - restated</v>
      </c>
      <c r="B40" s="207">
        <f>SUM(B38:B39)</f>
        <v>27530.87</v>
      </c>
      <c r="C40" s="207">
        <f t="shared" ref="C40:J40" si="5">SUM(C38:C39)</f>
        <v>8333.0368299999991</v>
      </c>
      <c r="D40" s="207">
        <f t="shared" si="5"/>
        <v>0</v>
      </c>
      <c r="E40" s="207">
        <f t="shared" si="5"/>
        <v>1177.6896300000001</v>
      </c>
      <c r="F40" s="207">
        <f t="shared" si="5"/>
        <v>0</v>
      </c>
      <c r="G40" s="207">
        <f t="shared" si="5"/>
        <v>53033.07864</v>
      </c>
      <c r="H40" s="207">
        <f t="shared" si="5"/>
        <v>0</v>
      </c>
      <c r="I40" s="207">
        <f t="shared" si="5"/>
        <v>0</v>
      </c>
      <c r="J40" s="207">
        <f t="shared" si="5"/>
        <v>90074.675099999993</v>
      </c>
    </row>
    <row r="41" spans="1:10" ht="14.1" hidden="1" customHeight="1" x14ac:dyDescent="0.2">
      <c r="A41" s="289" t="s">
        <v>591</v>
      </c>
      <c r="B41" s="220">
        <v>0</v>
      </c>
      <c r="C41" s="220">
        <v>0</v>
      </c>
      <c r="D41" s="220">
        <v>0</v>
      </c>
      <c r="E41" s="220">
        <v>0</v>
      </c>
      <c r="F41" s="220">
        <v>0</v>
      </c>
      <c r="G41" s="220">
        <v>0</v>
      </c>
      <c r="H41" s="220">
        <v>0</v>
      </c>
      <c r="I41" s="220">
        <v>0</v>
      </c>
      <c r="J41" s="220">
        <f t="shared" ref="J41:J61" si="6">SUM(B41:I41)</f>
        <v>0</v>
      </c>
    </row>
    <row r="42" spans="1:10" ht="14.1" customHeight="1" x14ac:dyDescent="0.2">
      <c r="A42" s="327" t="s">
        <v>1343</v>
      </c>
      <c r="B42" s="304">
        <v>0</v>
      </c>
      <c r="C42" s="304">
        <v>0</v>
      </c>
      <c r="D42" s="304">
        <v>0</v>
      </c>
      <c r="E42" s="304">
        <v>0</v>
      </c>
      <c r="F42" s="304">
        <v>0</v>
      </c>
      <c r="G42" s="304">
        <v>5374</v>
      </c>
      <c r="H42" s="304">
        <v>0</v>
      </c>
      <c r="I42" s="304">
        <v>0</v>
      </c>
      <c r="J42" s="220">
        <f t="shared" si="6"/>
        <v>5374</v>
      </c>
    </row>
    <row r="43" spans="1:10" s="222" customFormat="1" ht="14.1" hidden="1" customHeight="1" x14ac:dyDescent="0.2">
      <c r="A43" s="327" t="s">
        <v>593</v>
      </c>
      <c r="B43" s="304">
        <v>0</v>
      </c>
      <c r="C43" s="304">
        <v>0</v>
      </c>
      <c r="D43" s="304">
        <v>0</v>
      </c>
      <c r="E43" s="304">
        <v>0</v>
      </c>
      <c r="F43" s="304">
        <v>0</v>
      </c>
      <c r="G43" s="304">
        <v>0</v>
      </c>
      <c r="H43" s="304">
        <v>0</v>
      </c>
      <c r="I43" s="304">
        <v>0</v>
      </c>
      <c r="J43" s="220">
        <f t="shared" si="6"/>
        <v>0</v>
      </c>
    </row>
    <row r="44" spans="1:10" ht="14.1" hidden="1" customHeight="1" x14ac:dyDescent="0.2">
      <c r="A44" s="327" t="s">
        <v>594</v>
      </c>
      <c r="B44" s="219">
        <v>0</v>
      </c>
      <c r="C44" s="219">
        <v>0</v>
      </c>
      <c r="D44" s="219">
        <v>0</v>
      </c>
      <c r="E44" s="219">
        <v>0</v>
      </c>
      <c r="F44" s="219">
        <v>0</v>
      </c>
      <c r="G44" s="219">
        <v>0</v>
      </c>
      <c r="H44" s="219">
        <v>0</v>
      </c>
      <c r="I44" s="219">
        <v>0</v>
      </c>
      <c r="J44" s="220">
        <f t="shared" si="6"/>
        <v>0</v>
      </c>
    </row>
    <row r="45" spans="1:10" ht="36" hidden="1" x14ac:dyDescent="0.2">
      <c r="A45" s="327" t="s">
        <v>595</v>
      </c>
      <c r="B45" s="219">
        <v>0</v>
      </c>
      <c r="C45" s="219">
        <v>0</v>
      </c>
      <c r="D45" s="219">
        <v>0</v>
      </c>
      <c r="E45" s="219">
        <v>0</v>
      </c>
      <c r="F45" s="219">
        <v>0</v>
      </c>
      <c r="G45" s="219">
        <v>0</v>
      </c>
      <c r="H45" s="219">
        <v>0</v>
      </c>
      <c r="I45" s="219">
        <v>0</v>
      </c>
      <c r="J45" s="220">
        <f t="shared" si="6"/>
        <v>0</v>
      </c>
    </row>
    <row r="46" spans="1:10" ht="14.1" hidden="1" customHeight="1" x14ac:dyDescent="0.2">
      <c r="A46" s="327" t="s">
        <v>596</v>
      </c>
      <c r="B46" s="219">
        <v>0</v>
      </c>
      <c r="C46" s="219">
        <v>0</v>
      </c>
      <c r="D46" s="219">
        <v>0</v>
      </c>
      <c r="E46" s="219">
        <v>0</v>
      </c>
      <c r="F46" s="219">
        <v>0</v>
      </c>
      <c r="G46" s="219">
        <v>0</v>
      </c>
      <c r="H46" s="219">
        <v>0</v>
      </c>
      <c r="I46" s="219">
        <v>0</v>
      </c>
      <c r="J46" s="220">
        <f t="shared" si="6"/>
        <v>0</v>
      </c>
    </row>
    <row r="47" spans="1:10" ht="14.1" customHeight="1" x14ac:dyDescent="0.2">
      <c r="A47" s="327" t="s">
        <v>597</v>
      </c>
      <c r="B47" s="219">
        <v>0</v>
      </c>
      <c r="C47" s="219">
        <v>-2232</v>
      </c>
      <c r="D47" s="219">
        <v>0</v>
      </c>
      <c r="E47" s="219">
        <v>0</v>
      </c>
      <c r="F47" s="219">
        <v>0</v>
      </c>
      <c r="G47" s="219">
        <v>0</v>
      </c>
      <c r="H47" s="219">
        <v>0</v>
      </c>
      <c r="I47" s="219">
        <v>0</v>
      </c>
      <c r="J47" s="220">
        <f t="shared" si="6"/>
        <v>-2232</v>
      </c>
    </row>
    <row r="48" spans="1:10" ht="14.1" customHeight="1" x14ac:dyDescent="0.2">
      <c r="A48" s="327" t="s">
        <v>518</v>
      </c>
      <c r="B48" s="219">
        <v>0</v>
      </c>
      <c r="C48" s="219">
        <v>1712</v>
      </c>
      <c r="D48" s="219">
        <v>0</v>
      </c>
      <c r="E48" s="219">
        <v>0</v>
      </c>
      <c r="F48" s="219">
        <v>0</v>
      </c>
      <c r="G48" s="219">
        <v>0</v>
      </c>
      <c r="H48" s="219">
        <v>0</v>
      </c>
      <c r="I48" s="219">
        <v>0</v>
      </c>
      <c r="J48" s="220">
        <f t="shared" si="6"/>
        <v>1712</v>
      </c>
    </row>
    <row r="49" spans="1:10" ht="14.1" hidden="1" customHeight="1" x14ac:dyDescent="0.2">
      <c r="A49" s="327" t="s">
        <v>598</v>
      </c>
      <c r="B49" s="219">
        <v>0</v>
      </c>
      <c r="C49" s="219">
        <v>0</v>
      </c>
      <c r="D49" s="219">
        <v>0</v>
      </c>
      <c r="E49" s="219">
        <v>0</v>
      </c>
      <c r="F49" s="219">
        <v>0</v>
      </c>
      <c r="G49" s="219">
        <v>0</v>
      </c>
      <c r="H49" s="219">
        <v>0</v>
      </c>
      <c r="I49" s="219">
        <v>0</v>
      </c>
      <c r="J49" s="220">
        <f t="shared" si="6"/>
        <v>0</v>
      </c>
    </row>
    <row r="50" spans="1:10" ht="14.1" hidden="1" customHeight="1" x14ac:dyDescent="0.2">
      <c r="A50" s="327" t="s">
        <v>599</v>
      </c>
      <c r="B50" s="219">
        <v>0</v>
      </c>
      <c r="C50" s="219">
        <v>0</v>
      </c>
      <c r="D50" s="219">
        <v>0</v>
      </c>
      <c r="E50" s="219">
        <v>0</v>
      </c>
      <c r="F50" s="219">
        <v>0</v>
      </c>
      <c r="G50" s="219">
        <v>0</v>
      </c>
      <c r="H50" s="219">
        <v>0</v>
      </c>
      <c r="I50" s="219">
        <v>0</v>
      </c>
      <c r="J50" s="220">
        <f t="shared" si="6"/>
        <v>0</v>
      </c>
    </row>
    <row r="51" spans="1:10" ht="25.5" hidden="1" customHeight="1" x14ac:dyDescent="0.2">
      <c r="A51" s="327" t="s">
        <v>519</v>
      </c>
      <c r="B51" s="219">
        <v>0</v>
      </c>
      <c r="C51" s="219">
        <v>0</v>
      </c>
      <c r="D51" s="219">
        <v>0</v>
      </c>
      <c r="E51" s="219">
        <v>0</v>
      </c>
      <c r="F51" s="219">
        <v>0</v>
      </c>
      <c r="G51" s="219">
        <v>0</v>
      </c>
      <c r="H51" s="219">
        <v>0</v>
      </c>
      <c r="I51" s="219">
        <v>0</v>
      </c>
      <c r="J51" s="220">
        <f t="shared" si="6"/>
        <v>0</v>
      </c>
    </row>
    <row r="52" spans="1:10" ht="24.6" hidden="1" customHeight="1" x14ac:dyDescent="0.2">
      <c r="A52" s="327" t="s">
        <v>526</v>
      </c>
      <c r="B52" s="219">
        <v>0</v>
      </c>
      <c r="C52" s="219">
        <v>0</v>
      </c>
      <c r="D52" s="219">
        <v>0</v>
      </c>
      <c r="E52" s="219">
        <v>0</v>
      </c>
      <c r="F52" s="219">
        <v>0</v>
      </c>
      <c r="G52" s="219">
        <v>0</v>
      </c>
      <c r="H52" s="219">
        <v>0</v>
      </c>
      <c r="I52" s="219">
        <v>0</v>
      </c>
      <c r="J52" s="220">
        <f t="shared" si="6"/>
        <v>0</v>
      </c>
    </row>
    <row r="53" spans="1:10" ht="24.6" hidden="1" customHeight="1" x14ac:dyDescent="0.2">
      <c r="A53" s="327" t="s">
        <v>600</v>
      </c>
      <c r="B53" s="219">
        <v>0</v>
      </c>
      <c r="C53" s="219">
        <v>0</v>
      </c>
      <c r="D53" s="219">
        <v>0</v>
      </c>
      <c r="E53" s="219">
        <v>0</v>
      </c>
      <c r="F53" s="219">
        <v>0</v>
      </c>
      <c r="G53" s="219">
        <v>0</v>
      </c>
      <c r="H53" s="219">
        <v>0</v>
      </c>
      <c r="I53" s="219">
        <v>0</v>
      </c>
      <c r="J53" s="220">
        <f t="shared" si="6"/>
        <v>0</v>
      </c>
    </row>
    <row r="54" spans="1:10" ht="24.6" hidden="1" customHeight="1" x14ac:dyDescent="0.2">
      <c r="A54" s="327" t="s">
        <v>527</v>
      </c>
      <c r="B54" s="219">
        <v>0</v>
      </c>
      <c r="C54" s="219">
        <v>0</v>
      </c>
      <c r="D54" s="219">
        <v>0</v>
      </c>
      <c r="E54" s="219">
        <v>0</v>
      </c>
      <c r="F54" s="219">
        <v>0</v>
      </c>
      <c r="G54" s="219">
        <v>0</v>
      </c>
      <c r="H54" s="219">
        <v>0</v>
      </c>
      <c r="I54" s="219">
        <v>0</v>
      </c>
      <c r="J54" s="220">
        <f t="shared" si="6"/>
        <v>0</v>
      </c>
    </row>
    <row r="55" spans="1:10" s="222" customFormat="1" ht="13.5" customHeight="1" x14ac:dyDescent="0.2">
      <c r="A55" s="327" t="s">
        <v>1409</v>
      </c>
      <c r="B55" s="219">
        <v>0</v>
      </c>
      <c r="C55" s="219">
        <v>0</v>
      </c>
      <c r="D55" s="219">
        <v>0</v>
      </c>
      <c r="E55" s="219">
        <v>-477</v>
      </c>
      <c r="F55" s="219">
        <v>0</v>
      </c>
      <c r="G55" s="219">
        <v>0</v>
      </c>
      <c r="H55" s="219">
        <v>0</v>
      </c>
      <c r="I55" s="219">
        <v>0</v>
      </c>
      <c r="J55" s="220">
        <f t="shared" si="6"/>
        <v>-477</v>
      </c>
    </row>
    <row r="56" spans="1:10" s="222" customFormat="1" ht="14.1" hidden="1" customHeight="1" x14ac:dyDescent="0.2">
      <c r="A56" s="327" t="s">
        <v>521</v>
      </c>
      <c r="B56" s="219">
        <v>0</v>
      </c>
      <c r="C56" s="219">
        <v>0</v>
      </c>
      <c r="D56" s="219">
        <v>0</v>
      </c>
      <c r="E56" s="219">
        <v>0</v>
      </c>
      <c r="F56" s="219">
        <v>0</v>
      </c>
      <c r="G56" s="219">
        <v>0</v>
      </c>
      <c r="H56" s="219">
        <v>0</v>
      </c>
      <c r="I56" s="219">
        <v>0</v>
      </c>
      <c r="J56" s="220">
        <f t="shared" si="6"/>
        <v>0</v>
      </c>
    </row>
    <row r="57" spans="1:10" s="222" customFormat="1" ht="24.6" hidden="1" customHeight="1" x14ac:dyDescent="0.2">
      <c r="A57" s="327" t="s">
        <v>601</v>
      </c>
      <c r="B57" s="219">
        <v>0</v>
      </c>
      <c r="C57" s="219">
        <v>0</v>
      </c>
      <c r="D57" s="219">
        <v>0</v>
      </c>
      <c r="E57" s="219">
        <v>0</v>
      </c>
      <c r="F57" s="219">
        <v>0</v>
      </c>
      <c r="G57" s="219">
        <v>0</v>
      </c>
      <c r="H57" s="219">
        <v>0</v>
      </c>
      <c r="I57" s="219">
        <v>0</v>
      </c>
      <c r="J57" s="220">
        <f t="shared" si="6"/>
        <v>0</v>
      </c>
    </row>
    <row r="58" spans="1:10" ht="14.1" customHeight="1" x14ac:dyDescent="0.2">
      <c r="A58" s="327" t="s">
        <v>602</v>
      </c>
      <c r="B58" s="219">
        <v>2162</v>
      </c>
      <c r="C58" s="219">
        <v>0</v>
      </c>
      <c r="D58" s="219">
        <v>0</v>
      </c>
      <c r="E58" s="219">
        <v>0</v>
      </c>
      <c r="F58" s="219">
        <v>0</v>
      </c>
      <c r="G58" s="219">
        <v>0</v>
      </c>
      <c r="H58" s="219">
        <v>0</v>
      </c>
      <c r="I58" s="219">
        <v>0</v>
      </c>
      <c r="J58" s="220">
        <f t="shared" si="6"/>
        <v>2162</v>
      </c>
    </row>
    <row r="59" spans="1:10" ht="14.1" hidden="1" customHeight="1" x14ac:dyDescent="0.2">
      <c r="A59" s="327" t="s">
        <v>603</v>
      </c>
      <c r="B59" s="219">
        <v>0</v>
      </c>
      <c r="C59" s="219">
        <v>0</v>
      </c>
      <c r="D59" s="219">
        <v>0</v>
      </c>
      <c r="E59" s="219">
        <v>0</v>
      </c>
      <c r="F59" s="219">
        <v>0</v>
      </c>
      <c r="G59" s="219">
        <v>0</v>
      </c>
      <c r="H59" s="219">
        <v>0</v>
      </c>
      <c r="I59" s="219">
        <v>0</v>
      </c>
      <c r="J59" s="220">
        <f t="shared" si="6"/>
        <v>0</v>
      </c>
    </row>
    <row r="60" spans="1:10" ht="14.1" hidden="1" customHeight="1" x14ac:dyDescent="0.2">
      <c r="A60" s="327" t="s">
        <v>604</v>
      </c>
      <c r="B60" s="219">
        <v>0</v>
      </c>
      <c r="C60" s="219">
        <v>0</v>
      </c>
      <c r="D60" s="219">
        <v>0</v>
      </c>
      <c r="E60" s="219">
        <v>0</v>
      </c>
      <c r="F60" s="219">
        <v>0</v>
      </c>
      <c r="G60" s="219">
        <v>0</v>
      </c>
      <c r="H60" s="219">
        <v>0</v>
      </c>
      <c r="I60" s="219">
        <v>0</v>
      </c>
      <c r="J60" s="220">
        <f t="shared" si="6"/>
        <v>0</v>
      </c>
    </row>
    <row r="61" spans="1:10" ht="14.1" hidden="1" customHeight="1" x14ac:dyDescent="0.2">
      <c r="A61" s="327" t="s">
        <v>605</v>
      </c>
      <c r="B61" s="219">
        <v>0</v>
      </c>
      <c r="C61" s="219">
        <v>0</v>
      </c>
      <c r="D61" s="219">
        <v>0</v>
      </c>
      <c r="E61" s="219">
        <v>0</v>
      </c>
      <c r="F61" s="219">
        <v>0</v>
      </c>
      <c r="G61" s="219">
        <v>0</v>
      </c>
      <c r="H61" s="219">
        <v>0</v>
      </c>
      <c r="I61" s="219">
        <v>0</v>
      </c>
      <c r="J61" s="220">
        <f t="shared" si="6"/>
        <v>0</v>
      </c>
    </row>
    <row r="62" spans="1:10" s="222" customFormat="1" ht="14.1" hidden="1" customHeight="1" x14ac:dyDescent="0.2">
      <c r="A62" s="327" t="s">
        <v>524</v>
      </c>
      <c r="B62" s="219">
        <v>0</v>
      </c>
      <c r="C62" s="219">
        <v>0</v>
      </c>
      <c r="D62" s="219">
        <v>0</v>
      </c>
      <c r="E62" s="219">
        <v>0</v>
      </c>
      <c r="F62" s="219">
        <v>0</v>
      </c>
      <c r="G62" s="219">
        <v>0</v>
      </c>
      <c r="H62" s="219">
        <v>0</v>
      </c>
      <c r="I62" s="219">
        <v>0</v>
      </c>
      <c r="J62" s="220">
        <f>SUM(B62:I62)</f>
        <v>0</v>
      </c>
    </row>
    <row r="63" spans="1:10" ht="13.5" customHeight="1" thickBot="1" x14ac:dyDescent="0.25">
      <c r="A63" s="289" t="str">
        <f>"Taxpayers' and others' equity at " &amp; TEXT(ComparativeYearEnd, "d mmmm yyyy")</f>
        <v>Taxpayers' and others' equity at 31 March 2021</v>
      </c>
      <c r="B63" s="206">
        <f t="shared" ref="B63:J63" si="7">SUM(B40:B62)</f>
        <v>29692.87</v>
      </c>
      <c r="C63" s="206">
        <f t="shared" si="7"/>
        <v>7813.0368299999991</v>
      </c>
      <c r="D63" s="206">
        <f t="shared" si="7"/>
        <v>0</v>
      </c>
      <c r="E63" s="206">
        <f t="shared" si="7"/>
        <v>700.68963000000008</v>
      </c>
      <c r="F63" s="206">
        <f t="shared" si="7"/>
        <v>0</v>
      </c>
      <c r="G63" s="206">
        <f t="shared" si="7"/>
        <v>58407.07864</v>
      </c>
      <c r="H63" s="206">
        <f t="shared" si="7"/>
        <v>0</v>
      </c>
      <c r="I63" s="206">
        <f t="shared" si="7"/>
        <v>0</v>
      </c>
      <c r="J63" s="206">
        <f t="shared" si="7"/>
        <v>96613.675099999993</v>
      </c>
    </row>
    <row r="64" spans="1:10" ht="12" customHeight="1" thickTop="1" x14ac:dyDescent="0.2">
      <c r="A64" s="13"/>
      <c r="B64" s="222"/>
      <c r="C64" s="222"/>
      <c r="D64" s="222"/>
      <c r="E64" s="222"/>
      <c r="F64" s="222"/>
      <c r="G64" s="222"/>
      <c r="H64" s="222"/>
      <c r="I64" s="222"/>
      <c r="J64" s="222"/>
    </row>
    <row r="65" spans="1:10" x14ac:dyDescent="0.2">
      <c r="A65" s="13"/>
      <c r="B65" s="222"/>
      <c r="C65" s="222"/>
      <c r="D65" s="222"/>
      <c r="E65" s="222"/>
      <c r="F65" s="222"/>
      <c r="G65" s="222"/>
      <c r="H65" s="222"/>
      <c r="I65" s="222"/>
      <c r="J65" s="222"/>
    </row>
    <row r="66" spans="1:10" x14ac:dyDescent="0.2">
      <c r="A66" s="222"/>
      <c r="B66" s="222"/>
      <c r="C66" s="222"/>
      <c r="D66" s="222"/>
      <c r="E66" s="222"/>
      <c r="F66" s="222"/>
      <c r="G66" s="222"/>
      <c r="H66" s="222"/>
      <c r="I66" s="222"/>
      <c r="J66" s="222"/>
    </row>
    <row r="67" spans="1:10" ht="16.5" x14ac:dyDescent="0.25">
      <c r="A67" s="132" t="str">
        <f>"Consolidated Statement of Changes in Equity for the year ended " &amp; TEXT(CurrentYearEnd, "d mmmm yyyy")</f>
        <v>Consolidated Statement of Changes in Equity for the year ended 31 March 2022</v>
      </c>
      <c r="B67" s="6"/>
      <c r="C67" s="6"/>
      <c r="D67" s="6"/>
      <c r="E67" s="6"/>
      <c r="F67" s="6"/>
      <c r="G67" s="6"/>
      <c r="H67" s="6"/>
      <c r="I67" s="6"/>
      <c r="J67" s="6"/>
    </row>
    <row r="68" spans="1:10" x14ac:dyDescent="0.2">
      <c r="A68" s="289"/>
      <c r="B68" s="6"/>
      <c r="C68" s="6"/>
      <c r="D68" s="6"/>
      <c r="E68" s="6"/>
      <c r="F68" s="6"/>
      <c r="G68" s="6"/>
      <c r="H68" s="6"/>
      <c r="I68" s="6"/>
      <c r="J68" s="6"/>
    </row>
    <row r="69" spans="1:10" ht="36" x14ac:dyDescent="0.2">
      <c r="A69" s="316" t="s">
        <v>94</v>
      </c>
      <c r="B69" s="290" t="s">
        <v>576</v>
      </c>
      <c r="C69" s="290" t="s">
        <v>577</v>
      </c>
      <c r="D69" s="290" t="s">
        <v>587</v>
      </c>
      <c r="E69" s="290" t="s">
        <v>579</v>
      </c>
      <c r="F69" s="290" t="s">
        <v>580</v>
      </c>
      <c r="G69" s="290" t="s">
        <v>581</v>
      </c>
      <c r="H69" s="290" t="s">
        <v>583</v>
      </c>
      <c r="I69" s="290" t="s">
        <v>588</v>
      </c>
      <c r="J69" s="290" t="s">
        <v>589</v>
      </c>
    </row>
    <row r="70" spans="1:10" x14ac:dyDescent="0.2">
      <c r="A70" s="316"/>
      <c r="B70" s="290" t="s">
        <v>590</v>
      </c>
      <c r="C70" s="290" t="s">
        <v>590</v>
      </c>
      <c r="D70" s="290" t="s">
        <v>590</v>
      </c>
      <c r="E70" s="290" t="s">
        <v>590</v>
      </c>
      <c r="F70" s="290" t="s">
        <v>590</v>
      </c>
      <c r="G70" s="290" t="s">
        <v>590</v>
      </c>
      <c r="H70" s="290" t="s">
        <v>590</v>
      </c>
      <c r="I70" s="290" t="s">
        <v>590</v>
      </c>
      <c r="J70" s="290" t="s">
        <v>590</v>
      </c>
    </row>
    <row r="71" spans="1:10" ht="24" x14ac:dyDescent="0.2">
      <c r="A71" s="316" t="str">
        <f>"Taxpayers' and others' equity at " &amp; TEXT(CurrentYearStart,"d mmmm yyyy") &amp;" - brought forward"</f>
        <v>Taxpayers' and others' equity at 1 April 2021 - brought forward</v>
      </c>
      <c r="B71" s="220">
        <f>+B7</f>
        <v>29692.87</v>
      </c>
      <c r="C71" s="220">
        <f t="shared" ref="C71:F71" si="8">+C7</f>
        <v>7813.0368299999991</v>
      </c>
      <c r="D71" s="220">
        <f t="shared" si="8"/>
        <v>0</v>
      </c>
      <c r="E71" s="220">
        <f t="shared" si="8"/>
        <v>700.68963000000008</v>
      </c>
      <c r="F71" s="220">
        <f t="shared" si="8"/>
        <v>0</v>
      </c>
      <c r="G71" s="220">
        <v>59950</v>
      </c>
      <c r="H71" s="220">
        <f t="shared" ref="H71:I71" si="9">H127</f>
        <v>0</v>
      </c>
      <c r="I71" s="220">
        <f t="shared" si="9"/>
        <v>0</v>
      </c>
      <c r="J71" s="220">
        <f>SUM(B71:I71)</f>
        <v>98156.596460000001</v>
      </c>
    </row>
    <row r="72" spans="1:10" hidden="1" x14ac:dyDescent="0.2">
      <c r="A72" s="289" t="s">
        <v>591</v>
      </c>
      <c r="B72" s="220">
        <f t="shared" ref="B72:G72" si="10">+B8</f>
        <v>0</v>
      </c>
      <c r="C72" s="220">
        <f t="shared" si="10"/>
        <v>0</v>
      </c>
      <c r="D72" s="220">
        <f t="shared" si="10"/>
        <v>0</v>
      </c>
      <c r="E72" s="220">
        <f t="shared" si="10"/>
        <v>0</v>
      </c>
      <c r="F72" s="220">
        <f t="shared" si="10"/>
        <v>0</v>
      </c>
      <c r="G72" s="220">
        <f t="shared" si="10"/>
        <v>0</v>
      </c>
      <c r="H72" s="220">
        <v>0</v>
      </c>
      <c r="I72" s="220">
        <v>0</v>
      </c>
      <c r="J72" s="220">
        <f t="shared" ref="J72:J77" si="11">SUM(B72:I72)</f>
        <v>0</v>
      </c>
    </row>
    <row r="73" spans="1:10" ht="13.5" customHeight="1" x14ac:dyDescent="0.2">
      <c r="A73" s="422" t="s">
        <v>1343</v>
      </c>
      <c r="B73" s="304">
        <f t="shared" ref="B73:F73" si="12">+B9</f>
        <v>0</v>
      </c>
      <c r="C73" s="304">
        <f t="shared" si="12"/>
        <v>0</v>
      </c>
      <c r="D73" s="304">
        <f t="shared" si="12"/>
        <v>0</v>
      </c>
      <c r="E73" s="304">
        <f t="shared" si="12"/>
        <v>0</v>
      </c>
      <c r="F73" s="304">
        <f t="shared" si="12"/>
        <v>0</v>
      </c>
      <c r="G73" s="304">
        <v>19508</v>
      </c>
      <c r="H73" s="219">
        <v>0</v>
      </c>
      <c r="I73" s="219">
        <v>0</v>
      </c>
      <c r="J73" s="220">
        <f t="shared" si="11"/>
        <v>19508</v>
      </c>
    </row>
    <row r="74" spans="1:10" hidden="1" x14ac:dyDescent="0.2">
      <c r="A74" s="130" t="s">
        <v>593</v>
      </c>
      <c r="B74" s="304">
        <f t="shared" ref="B74:G74" si="13">+B10</f>
        <v>0</v>
      </c>
      <c r="C74" s="304">
        <f t="shared" si="13"/>
        <v>0</v>
      </c>
      <c r="D74" s="304">
        <f t="shared" si="13"/>
        <v>0</v>
      </c>
      <c r="E74" s="304">
        <f t="shared" si="13"/>
        <v>0</v>
      </c>
      <c r="F74" s="304">
        <f t="shared" si="13"/>
        <v>0</v>
      </c>
      <c r="G74" s="304">
        <f t="shared" si="13"/>
        <v>0</v>
      </c>
      <c r="H74" s="219">
        <v>0</v>
      </c>
      <c r="I74" s="219">
        <v>0</v>
      </c>
      <c r="J74" s="220">
        <f t="shared" si="11"/>
        <v>0</v>
      </c>
    </row>
    <row r="75" spans="1:10" hidden="1" x14ac:dyDescent="0.2">
      <c r="A75" s="422" t="s">
        <v>594</v>
      </c>
      <c r="B75" s="304">
        <f t="shared" ref="B75:G75" si="14">+B11</f>
        <v>0</v>
      </c>
      <c r="C75" s="304">
        <f t="shared" si="14"/>
        <v>0</v>
      </c>
      <c r="D75" s="304">
        <f t="shared" si="14"/>
        <v>0</v>
      </c>
      <c r="E75" s="304">
        <f t="shared" si="14"/>
        <v>0</v>
      </c>
      <c r="F75" s="304">
        <f t="shared" si="14"/>
        <v>0</v>
      </c>
      <c r="G75" s="304">
        <f t="shared" si="14"/>
        <v>0</v>
      </c>
      <c r="H75" s="219">
        <v>0</v>
      </c>
      <c r="I75" s="219">
        <v>0</v>
      </c>
      <c r="J75" s="220">
        <f t="shared" si="11"/>
        <v>0</v>
      </c>
    </row>
    <row r="76" spans="1:10" ht="36" hidden="1" x14ac:dyDescent="0.2">
      <c r="A76" s="422" t="s">
        <v>595</v>
      </c>
      <c r="B76" s="304">
        <f t="shared" ref="B76:G76" si="15">+B12</f>
        <v>0</v>
      </c>
      <c r="C76" s="304">
        <f t="shared" si="15"/>
        <v>0</v>
      </c>
      <c r="D76" s="304">
        <f t="shared" si="15"/>
        <v>0</v>
      </c>
      <c r="E76" s="304">
        <f t="shared" si="15"/>
        <v>0</v>
      </c>
      <c r="F76" s="304">
        <f t="shared" si="15"/>
        <v>0</v>
      </c>
      <c r="G76" s="304">
        <f t="shared" si="15"/>
        <v>0</v>
      </c>
      <c r="H76" s="219">
        <v>0</v>
      </c>
      <c r="I76" s="219">
        <v>0</v>
      </c>
      <c r="J76" s="220">
        <f t="shared" si="11"/>
        <v>0</v>
      </c>
    </row>
    <row r="77" spans="1:10" hidden="1" x14ac:dyDescent="0.2">
      <c r="A77" s="422" t="s">
        <v>596</v>
      </c>
      <c r="B77" s="304">
        <f t="shared" ref="B77:G77" si="16">+B13</f>
        <v>0</v>
      </c>
      <c r="C77" s="304">
        <f t="shared" si="16"/>
        <v>0</v>
      </c>
      <c r="D77" s="304">
        <f t="shared" si="16"/>
        <v>0</v>
      </c>
      <c r="E77" s="304">
        <f t="shared" si="16"/>
        <v>0</v>
      </c>
      <c r="F77" s="304">
        <f t="shared" si="16"/>
        <v>0</v>
      </c>
      <c r="G77" s="304">
        <f t="shared" si="16"/>
        <v>0</v>
      </c>
      <c r="H77" s="219">
        <v>0</v>
      </c>
      <c r="I77" s="219">
        <v>0</v>
      </c>
      <c r="J77" s="220">
        <f t="shared" si="11"/>
        <v>0</v>
      </c>
    </row>
    <row r="78" spans="1:10" x14ac:dyDescent="0.2">
      <c r="A78" s="422" t="s">
        <v>597</v>
      </c>
      <c r="B78" s="304">
        <f t="shared" ref="B78:G78" si="17">+B14</f>
        <v>0</v>
      </c>
      <c r="C78" s="304">
        <f t="shared" si="17"/>
        <v>-29</v>
      </c>
      <c r="D78" s="304">
        <f t="shared" si="17"/>
        <v>0</v>
      </c>
      <c r="E78" s="304">
        <f t="shared" si="17"/>
        <v>0</v>
      </c>
      <c r="F78" s="304">
        <f t="shared" si="17"/>
        <v>0</v>
      </c>
      <c r="G78" s="304">
        <f t="shared" si="17"/>
        <v>0</v>
      </c>
      <c r="H78" s="219">
        <v>0</v>
      </c>
      <c r="I78" s="219">
        <v>0</v>
      </c>
      <c r="J78" s="220">
        <f t="shared" ref="J78:J93" si="18">SUM(B78:I78)</f>
        <v>-29</v>
      </c>
    </row>
    <row r="79" spans="1:10" ht="13.5" customHeight="1" x14ac:dyDescent="0.2">
      <c r="A79" s="422" t="s">
        <v>518</v>
      </c>
      <c r="B79" s="304">
        <f t="shared" ref="B79:G79" si="19">+B15</f>
        <v>0</v>
      </c>
      <c r="C79" s="304">
        <f t="shared" si="19"/>
        <v>3236</v>
      </c>
      <c r="D79" s="304">
        <f t="shared" si="19"/>
        <v>0</v>
      </c>
      <c r="E79" s="304">
        <f t="shared" si="19"/>
        <v>0</v>
      </c>
      <c r="F79" s="304">
        <f t="shared" si="19"/>
        <v>0</v>
      </c>
      <c r="G79" s="304">
        <f t="shared" si="19"/>
        <v>0</v>
      </c>
      <c r="H79" s="219">
        <v>0</v>
      </c>
      <c r="I79" s="219">
        <v>0</v>
      </c>
      <c r="J79" s="220">
        <f t="shared" si="18"/>
        <v>3236</v>
      </c>
    </row>
    <row r="80" spans="1:10" hidden="1" x14ac:dyDescent="0.2">
      <c r="A80" s="422" t="s">
        <v>598</v>
      </c>
      <c r="B80" s="304">
        <f t="shared" ref="B80:G80" si="20">+B16</f>
        <v>0</v>
      </c>
      <c r="C80" s="304">
        <f t="shared" si="20"/>
        <v>0</v>
      </c>
      <c r="D80" s="304">
        <f t="shared" si="20"/>
        <v>0</v>
      </c>
      <c r="E80" s="304">
        <f t="shared" si="20"/>
        <v>0</v>
      </c>
      <c r="F80" s="304">
        <f t="shared" si="20"/>
        <v>0</v>
      </c>
      <c r="G80" s="304">
        <f t="shared" si="20"/>
        <v>0</v>
      </c>
      <c r="H80" s="219">
        <v>0</v>
      </c>
      <c r="I80" s="219">
        <v>0</v>
      </c>
      <c r="J80" s="220">
        <f t="shared" si="18"/>
        <v>0</v>
      </c>
    </row>
    <row r="81" spans="1:10" hidden="1" x14ac:dyDescent="0.2">
      <c r="A81" s="422" t="s">
        <v>599</v>
      </c>
      <c r="B81" s="304">
        <f t="shared" ref="B81:G81" si="21">+B17</f>
        <v>0</v>
      </c>
      <c r="C81" s="304">
        <f t="shared" si="21"/>
        <v>0</v>
      </c>
      <c r="D81" s="304">
        <f t="shared" si="21"/>
        <v>0</v>
      </c>
      <c r="E81" s="304">
        <f t="shared" si="21"/>
        <v>0</v>
      </c>
      <c r="F81" s="304">
        <f t="shared" si="21"/>
        <v>0</v>
      </c>
      <c r="G81" s="304">
        <f t="shared" si="21"/>
        <v>0</v>
      </c>
      <c r="H81" s="219">
        <v>0</v>
      </c>
      <c r="I81" s="219">
        <v>0</v>
      </c>
      <c r="J81" s="220">
        <f t="shared" si="18"/>
        <v>0</v>
      </c>
    </row>
    <row r="82" spans="1:10" ht="24" hidden="1" x14ac:dyDescent="0.2">
      <c r="A82" s="422" t="s">
        <v>519</v>
      </c>
      <c r="B82" s="304">
        <f t="shared" ref="B82:G82" si="22">+B18</f>
        <v>0</v>
      </c>
      <c r="C82" s="304">
        <f t="shared" si="22"/>
        <v>0</v>
      </c>
      <c r="D82" s="304">
        <f t="shared" si="22"/>
        <v>0</v>
      </c>
      <c r="E82" s="304">
        <f t="shared" si="22"/>
        <v>0</v>
      </c>
      <c r="F82" s="304">
        <f t="shared" si="22"/>
        <v>0</v>
      </c>
      <c r="G82" s="304">
        <f t="shared" si="22"/>
        <v>0</v>
      </c>
      <c r="H82" s="219">
        <v>0</v>
      </c>
      <c r="I82" s="219">
        <v>0</v>
      </c>
      <c r="J82" s="220">
        <f t="shared" si="18"/>
        <v>0</v>
      </c>
    </row>
    <row r="83" spans="1:10" ht="24" hidden="1" x14ac:dyDescent="0.2">
      <c r="A83" s="422" t="s">
        <v>526</v>
      </c>
      <c r="B83" s="304">
        <f t="shared" ref="B83:G83" si="23">+B19</f>
        <v>0</v>
      </c>
      <c r="C83" s="304">
        <f t="shared" si="23"/>
        <v>0</v>
      </c>
      <c r="D83" s="304">
        <f t="shared" si="23"/>
        <v>0</v>
      </c>
      <c r="E83" s="304">
        <f t="shared" si="23"/>
        <v>0</v>
      </c>
      <c r="F83" s="304">
        <f t="shared" si="23"/>
        <v>0</v>
      </c>
      <c r="G83" s="304">
        <f t="shared" si="23"/>
        <v>0</v>
      </c>
      <c r="H83" s="219">
        <v>0</v>
      </c>
      <c r="I83" s="219">
        <v>0</v>
      </c>
      <c r="J83" s="220">
        <f t="shared" si="18"/>
        <v>0</v>
      </c>
    </row>
    <row r="84" spans="1:10" ht="24" hidden="1" x14ac:dyDescent="0.2">
      <c r="A84" s="422" t="s">
        <v>600</v>
      </c>
      <c r="B84" s="304">
        <f t="shared" ref="B84:G84" si="24">+B20</f>
        <v>0</v>
      </c>
      <c r="C84" s="304">
        <f t="shared" si="24"/>
        <v>0</v>
      </c>
      <c r="D84" s="304">
        <f t="shared" si="24"/>
        <v>0</v>
      </c>
      <c r="E84" s="304">
        <f t="shared" si="24"/>
        <v>0</v>
      </c>
      <c r="F84" s="304">
        <f t="shared" si="24"/>
        <v>0</v>
      </c>
      <c r="G84" s="304">
        <f t="shared" si="24"/>
        <v>0</v>
      </c>
      <c r="H84" s="219" t="s">
        <v>1459</v>
      </c>
      <c r="I84" s="219">
        <v>0</v>
      </c>
      <c r="J84" s="220">
        <f t="shared" si="18"/>
        <v>0</v>
      </c>
    </row>
    <row r="85" spans="1:10" ht="24" hidden="1" x14ac:dyDescent="0.2">
      <c r="A85" s="422" t="s">
        <v>527</v>
      </c>
      <c r="B85" s="304">
        <f t="shared" ref="B85:G85" si="25">+B21</f>
        <v>0</v>
      </c>
      <c r="C85" s="304">
        <f t="shared" si="25"/>
        <v>0</v>
      </c>
      <c r="D85" s="304">
        <f t="shared" si="25"/>
        <v>0</v>
      </c>
      <c r="E85" s="304">
        <f t="shared" si="25"/>
        <v>0</v>
      </c>
      <c r="F85" s="304">
        <f t="shared" si="25"/>
        <v>0</v>
      </c>
      <c r="G85" s="304">
        <f t="shared" si="25"/>
        <v>0</v>
      </c>
      <c r="H85" s="219">
        <v>0</v>
      </c>
      <c r="I85" s="219">
        <v>0</v>
      </c>
      <c r="J85" s="220">
        <f t="shared" si="18"/>
        <v>0</v>
      </c>
    </row>
    <row r="86" spans="1:10" ht="13.5" customHeight="1" x14ac:dyDescent="0.2">
      <c r="A86" s="422" t="s">
        <v>1408</v>
      </c>
      <c r="B86" s="304">
        <f t="shared" ref="B86:G86" si="26">+B22</f>
        <v>0</v>
      </c>
      <c r="C86" s="304">
        <f t="shared" si="26"/>
        <v>0</v>
      </c>
      <c r="D86" s="304">
        <f t="shared" si="26"/>
        <v>0</v>
      </c>
      <c r="E86" s="304">
        <f t="shared" si="26"/>
        <v>176</v>
      </c>
      <c r="F86" s="304">
        <f t="shared" si="26"/>
        <v>0</v>
      </c>
      <c r="G86" s="304">
        <f t="shared" si="26"/>
        <v>0</v>
      </c>
      <c r="H86" s="219">
        <v>0</v>
      </c>
      <c r="I86" s="219">
        <v>0</v>
      </c>
      <c r="J86" s="220">
        <f t="shared" si="18"/>
        <v>176</v>
      </c>
    </row>
    <row r="87" spans="1:10" hidden="1" x14ac:dyDescent="0.2">
      <c r="A87" s="422" t="s">
        <v>521</v>
      </c>
      <c r="B87" s="304">
        <f t="shared" ref="B87:G87" si="27">+B23</f>
        <v>0</v>
      </c>
      <c r="C87" s="304">
        <f t="shared" si="27"/>
        <v>0</v>
      </c>
      <c r="D87" s="304">
        <f t="shared" si="27"/>
        <v>0</v>
      </c>
      <c r="E87" s="304">
        <f t="shared" si="27"/>
        <v>0</v>
      </c>
      <c r="F87" s="304">
        <f t="shared" si="27"/>
        <v>0</v>
      </c>
      <c r="G87" s="304">
        <f t="shared" si="27"/>
        <v>0</v>
      </c>
      <c r="H87" s="219">
        <v>0</v>
      </c>
      <c r="I87" s="219">
        <v>0</v>
      </c>
      <c r="J87" s="220">
        <f t="shared" si="18"/>
        <v>0</v>
      </c>
    </row>
    <row r="88" spans="1:10" ht="24" hidden="1" x14ac:dyDescent="0.2">
      <c r="A88" s="422" t="s">
        <v>601</v>
      </c>
      <c r="B88" s="304">
        <f t="shared" ref="B88:G88" si="28">+B24</f>
        <v>0</v>
      </c>
      <c r="C88" s="304">
        <f t="shared" si="28"/>
        <v>0</v>
      </c>
      <c r="D88" s="304">
        <f t="shared" si="28"/>
        <v>0</v>
      </c>
      <c r="E88" s="304">
        <f t="shared" si="28"/>
        <v>0</v>
      </c>
      <c r="F88" s="304">
        <f t="shared" si="28"/>
        <v>0</v>
      </c>
      <c r="G88" s="304">
        <f t="shared" si="28"/>
        <v>0</v>
      </c>
      <c r="H88" s="219">
        <v>0</v>
      </c>
      <c r="I88" s="219">
        <v>0</v>
      </c>
      <c r="J88" s="220">
        <f t="shared" si="18"/>
        <v>0</v>
      </c>
    </row>
    <row r="89" spans="1:10" ht="13.5" customHeight="1" x14ac:dyDescent="0.2">
      <c r="A89" s="422" t="s">
        <v>602</v>
      </c>
      <c r="B89" s="304">
        <f t="shared" ref="B89:G89" si="29">+B25</f>
        <v>625</v>
      </c>
      <c r="C89" s="304">
        <f t="shared" si="29"/>
        <v>0</v>
      </c>
      <c r="D89" s="304">
        <f t="shared" si="29"/>
        <v>0</v>
      </c>
      <c r="E89" s="304">
        <f t="shared" si="29"/>
        <v>0</v>
      </c>
      <c r="F89" s="304">
        <f t="shared" si="29"/>
        <v>0</v>
      </c>
      <c r="G89" s="304">
        <f t="shared" si="29"/>
        <v>0</v>
      </c>
      <c r="H89" s="219">
        <v>0</v>
      </c>
      <c r="I89" s="219">
        <v>0</v>
      </c>
      <c r="J89" s="220">
        <f t="shared" si="18"/>
        <v>625</v>
      </c>
    </row>
    <row r="90" spans="1:10" hidden="1" x14ac:dyDescent="0.2">
      <c r="A90" s="422" t="s">
        <v>603</v>
      </c>
      <c r="B90" s="220">
        <f t="shared" ref="B90:G90" si="30">+B26</f>
        <v>0</v>
      </c>
      <c r="C90" s="220">
        <f t="shared" si="30"/>
        <v>0</v>
      </c>
      <c r="D90" s="220">
        <f t="shared" si="30"/>
        <v>0</v>
      </c>
      <c r="E90" s="220">
        <f t="shared" si="30"/>
        <v>0</v>
      </c>
      <c r="F90" s="220">
        <f t="shared" si="30"/>
        <v>0</v>
      </c>
      <c r="G90" s="220">
        <f t="shared" si="30"/>
        <v>0</v>
      </c>
      <c r="H90" s="219" t="s">
        <v>1460</v>
      </c>
      <c r="I90" s="219">
        <v>0</v>
      </c>
      <c r="J90" s="220">
        <f t="shared" si="18"/>
        <v>0</v>
      </c>
    </row>
    <row r="91" spans="1:10" hidden="1" x14ac:dyDescent="0.2">
      <c r="A91" s="422" t="s">
        <v>604</v>
      </c>
      <c r="B91" s="220">
        <f t="shared" ref="B91:G91" si="31">+B27</f>
        <v>0</v>
      </c>
      <c r="C91" s="220">
        <f t="shared" si="31"/>
        <v>0</v>
      </c>
      <c r="D91" s="220">
        <f t="shared" si="31"/>
        <v>0</v>
      </c>
      <c r="E91" s="220">
        <f t="shared" si="31"/>
        <v>0</v>
      </c>
      <c r="F91" s="220">
        <f t="shared" si="31"/>
        <v>0</v>
      </c>
      <c r="G91" s="220">
        <f t="shared" si="31"/>
        <v>0</v>
      </c>
      <c r="H91" s="219" t="s">
        <v>1461</v>
      </c>
      <c r="I91" s="219">
        <v>0</v>
      </c>
      <c r="J91" s="220">
        <f t="shared" si="18"/>
        <v>0</v>
      </c>
    </row>
    <row r="92" spans="1:10" hidden="1" x14ac:dyDescent="0.2">
      <c r="A92" s="422" t="s">
        <v>605</v>
      </c>
      <c r="B92" s="220">
        <f t="shared" ref="B92:G92" si="32">+B28</f>
        <v>0</v>
      </c>
      <c r="C92" s="220">
        <f t="shared" si="32"/>
        <v>0</v>
      </c>
      <c r="D92" s="220">
        <f t="shared" si="32"/>
        <v>0</v>
      </c>
      <c r="E92" s="220">
        <f t="shared" si="32"/>
        <v>0</v>
      </c>
      <c r="F92" s="220">
        <f t="shared" si="32"/>
        <v>0</v>
      </c>
      <c r="G92" s="220">
        <f t="shared" si="32"/>
        <v>0</v>
      </c>
      <c r="H92" s="219" t="s">
        <v>1462</v>
      </c>
      <c r="I92" s="219">
        <v>0</v>
      </c>
      <c r="J92" s="220">
        <f t="shared" si="18"/>
        <v>0</v>
      </c>
    </row>
    <row r="93" spans="1:10" hidden="1" x14ac:dyDescent="0.2">
      <c r="A93" s="422" t="s">
        <v>524</v>
      </c>
      <c r="B93" s="220">
        <f t="shared" ref="B93:G93" si="33">+B29</f>
        <v>0</v>
      </c>
      <c r="C93" s="220">
        <f t="shared" si="33"/>
        <v>0</v>
      </c>
      <c r="D93" s="220">
        <f t="shared" si="33"/>
        <v>0</v>
      </c>
      <c r="E93" s="220">
        <f t="shared" si="33"/>
        <v>0</v>
      </c>
      <c r="F93" s="220">
        <f t="shared" si="33"/>
        <v>0</v>
      </c>
      <c r="G93" s="220">
        <f t="shared" si="33"/>
        <v>0</v>
      </c>
      <c r="H93" s="219"/>
      <c r="I93" s="219">
        <v>0</v>
      </c>
      <c r="J93" s="220">
        <f t="shared" si="18"/>
        <v>0</v>
      </c>
    </row>
    <row r="94" spans="1:10" ht="17.25" customHeight="1" thickBot="1" x14ac:dyDescent="0.25">
      <c r="A94" s="289" t="str">
        <f>"Taxpayers' and others' equity at " &amp; TEXT(CurrentYearEnd, "d mmmm yyyy")</f>
        <v>Taxpayers' and others' equity at 31 March 2022</v>
      </c>
      <c r="B94" s="206">
        <f t="shared" ref="B94:J94" si="34">SUM(B71:B93)</f>
        <v>30317.87</v>
      </c>
      <c r="C94" s="206">
        <f t="shared" si="34"/>
        <v>11020.036829999999</v>
      </c>
      <c r="D94" s="206">
        <f t="shared" si="34"/>
        <v>0</v>
      </c>
      <c r="E94" s="206">
        <f t="shared" si="34"/>
        <v>876.68963000000008</v>
      </c>
      <c r="F94" s="206">
        <f t="shared" si="34"/>
        <v>0</v>
      </c>
      <c r="G94" s="206">
        <f t="shared" si="34"/>
        <v>79458</v>
      </c>
      <c r="H94" s="206">
        <f t="shared" si="34"/>
        <v>0</v>
      </c>
      <c r="I94" s="206">
        <f t="shared" si="34"/>
        <v>0</v>
      </c>
      <c r="J94" s="206">
        <f t="shared" si="34"/>
        <v>121672.59646</v>
      </c>
    </row>
    <row r="95" spans="1:10" ht="12.75" thickTop="1" x14ac:dyDescent="0.2"/>
    <row r="98" spans="1:10" ht="16.5" x14ac:dyDescent="0.25">
      <c r="A98" s="132" t="str">
        <f>"Consolidated Statement of Changes in Equity for the year ended " &amp; TEXT(ComparativeYearEnd, "d mmmm yyyy")</f>
        <v>Consolidated Statement of Changes in Equity for the year ended 31 March 2021</v>
      </c>
      <c r="B98" s="6"/>
      <c r="C98" s="6"/>
      <c r="D98" s="6"/>
      <c r="E98" s="6"/>
      <c r="F98" s="6"/>
      <c r="G98" s="6"/>
      <c r="H98" s="6"/>
      <c r="I98" s="6"/>
      <c r="J98" s="6"/>
    </row>
    <row r="99" spans="1:10" x14ac:dyDescent="0.2">
      <c r="A99" s="289"/>
      <c r="B99" s="6"/>
      <c r="C99" s="6"/>
      <c r="D99" s="6"/>
      <c r="E99" s="6"/>
      <c r="F99" s="6"/>
      <c r="G99" s="6"/>
      <c r="H99" s="6"/>
      <c r="I99" s="6"/>
      <c r="J99" s="6"/>
    </row>
    <row r="100" spans="1:10" ht="36" x14ac:dyDescent="0.2">
      <c r="A100" s="316" t="s">
        <v>94</v>
      </c>
      <c r="B100" s="290" t="s">
        <v>576</v>
      </c>
      <c r="C100" s="290" t="s">
        <v>577</v>
      </c>
      <c r="D100" s="290" t="s">
        <v>587</v>
      </c>
      <c r="E100" s="290" t="s">
        <v>579</v>
      </c>
      <c r="F100" s="290" t="s">
        <v>580</v>
      </c>
      <c r="G100" s="290" t="s">
        <v>581</v>
      </c>
      <c r="H100" s="290" t="s">
        <v>583</v>
      </c>
      <c r="I100" s="290" t="s">
        <v>588</v>
      </c>
      <c r="J100" s="290" t="s">
        <v>589</v>
      </c>
    </row>
    <row r="101" spans="1:10" x14ac:dyDescent="0.2">
      <c r="A101" s="316"/>
      <c r="B101" s="290" t="s">
        <v>590</v>
      </c>
      <c r="C101" s="290" t="s">
        <v>590</v>
      </c>
      <c r="D101" s="290" t="s">
        <v>590</v>
      </c>
      <c r="E101" s="290" t="s">
        <v>590</v>
      </c>
      <c r="F101" s="290" t="s">
        <v>590</v>
      </c>
      <c r="G101" s="290" t="s">
        <v>590</v>
      </c>
      <c r="H101" s="290" t="s">
        <v>590</v>
      </c>
      <c r="I101" s="290" t="s">
        <v>590</v>
      </c>
      <c r="J101" s="290" t="s">
        <v>590</v>
      </c>
    </row>
    <row r="102" spans="1:10" ht="13.5" customHeight="1" x14ac:dyDescent="0.2">
      <c r="A102" s="316" t="str">
        <f>"Taxpayers' and others' equity at " &amp; TEXT(ComparativeYearStart, "d mmmm yyyy") &amp;" - brought forward"</f>
        <v>Taxpayers' and others' equity at 1 April 2020 - brought forward</v>
      </c>
      <c r="B102" s="220">
        <f>+B38</f>
        <v>27530.87</v>
      </c>
      <c r="C102" s="220">
        <f t="shared" ref="C102:F102" si="35">+C38</f>
        <v>8333.0368299999991</v>
      </c>
      <c r="D102" s="220">
        <f t="shared" si="35"/>
        <v>0</v>
      </c>
      <c r="E102" s="220">
        <f t="shared" si="35"/>
        <v>1177.6896300000001</v>
      </c>
      <c r="F102" s="220">
        <f t="shared" si="35"/>
        <v>0</v>
      </c>
      <c r="G102" s="220">
        <v>54553</v>
      </c>
      <c r="H102" s="220" t="s">
        <v>1463</v>
      </c>
      <c r="I102" s="220">
        <v>0</v>
      </c>
      <c r="J102" s="220">
        <f>SUM(B102:I102)</f>
        <v>91594.596460000001</v>
      </c>
    </row>
    <row r="103" spans="1:10" hidden="1" x14ac:dyDescent="0.2">
      <c r="A103" s="422" t="s">
        <v>606</v>
      </c>
      <c r="B103" s="219">
        <v>0</v>
      </c>
      <c r="C103" s="220">
        <f t="shared" ref="C103:G103" si="36">+C39</f>
        <v>0</v>
      </c>
      <c r="D103" s="220">
        <f t="shared" si="36"/>
        <v>0</v>
      </c>
      <c r="E103" s="220">
        <f t="shared" si="36"/>
        <v>0</v>
      </c>
      <c r="F103" s="220">
        <f t="shared" si="36"/>
        <v>0</v>
      </c>
      <c r="G103" s="220">
        <f t="shared" si="36"/>
        <v>0</v>
      </c>
      <c r="H103" s="219" t="s">
        <v>1464</v>
      </c>
      <c r="I103" s="219">
        <v>0</v>
      </c>
      <c r="J103" s="220">
        <f>SUM(B103:I103)</f>
        <v>0</v>
      </c>
    </row>
    <row r="104" spans="1:10" hidden="1" x14ac:dyDescent="0.2">
      <c r="A104" s="289" t="str">
        <f>"Taxpayers' and others' equity at " &amp; TEXT(ComparativeYearStart, "d mmmm yyyy") &amp;" - restated"</f>
        <v>Taxpayers' and others' equity at 1 April 2020 - restated</v>
      </c>
      <c r="B104" s="207">
        <f>SUM(B102:B103)</f>
        <v>27530.87</v>
      </c>
      <c r="C104" s="220">
        <f t="shared" ref="C104:F104" si="37">+C40</f>
        <v>8333.0368299999991</v>
      </c>
      <c r="D104" s="220">
        <f t="shared" si="37"/>
        <v>0</v>
      </c>
      <c r="E104" s="220">
        <f t="shared" si="37"/>
        <v>1177.6896300000001</v>
      </c>
      <c r="F104" s="220">
        <f t="shared" si="37"/>
        <v>0</v>
      </c>
      <c r="G104" s="220">
        <f>+G102</f>
        <v>54553</v>
      </c>
      <c r="H104" s="207">
        <f t="shared" ref="H104:J104" si="38">SUM(H102:H103)</f>
        <v>0</v>
      </c>
      <c r="I104" s="207">
        <f t="shared" si="38"/>
        <v>0</v>
      </c>
      <c r="J104" s="207">
        <f t="shared" si="38"/>
        <v>91594.596460000001</v>
      </c>
    </row>
    <row r="105" spans="1:10" hidden="1" x14ac:dyDescent="0.2">
      <c r="A105" s="289" t="s">
        <v>591</v>
      </c>
      <c r="B105" s="220">
        <f t="shared" ref="B105:G105" si="39">+B41</f>
        <v>0</v>
      </c>
      <c r="C105" s="220">
        <f t="shared" si="39"/>
        <v>0</v>
      </c>
      <c r="D105" s="220">
        <f t="shared" si="39"/>
        <v>0</v>
      </c>
      <c r="E105" s="220">
        <f t="shared" si="39"/>
        <v>0</v>
      </c>
      <c r="F105" s="220">
        <f t="shared" si="39"/>
        <v>0</v>
      </c>
      <c r="G105" s="220">
        <f t="shared" si="39"/>
        <v>0</v>
      </c>
      <c r="H105" s="220" t="s">
        <v>1465</v>
      </c>
      <c r="I105" s="220">
        <v>0</v>
      </c>
      <c r="J105" s="220">
        <f t="shared" ref="J105:J125" si="40">SUM(B105:I105)</f>
        <v>0</v>
      </c>
    </row>
    <row r="106" spans="1:10" x14ac:dyDescent="0.2">
      <c r="A106" s="422" t="s">
        <v>1343</v>
      </c>
      <c r="B106" s="304">
        <f t="shared" ref="B106:F106" si="41">+B42</f>
        <v>0</v>
      </c>
      <c r="C106" s="304">
        <f t="shared" si="41"/>
        <v>0</v>
      </c>
      <c r="D106" s="304">
        <f t="shared" si="41"/>
        <v>0</v>
      </c>
      <c r="E106" s="304">
        <f t="shared" si="41"/>
        <v>0</v>
      </c>
      <c r="F106" s="304">
        <f t="shared" si="41"/>
        <v>0</v>
      </c>
      <c r="G106" s="304">
        <v>5397</v>
      </c>
      <c r="H106" s="304" t="s">
        <v>1466</v>
      </c>
      <c r="I106" s="304">
        <v>0</v>
      </c>
      <c r="J106" s="220">
        <f t="shared" si="40"/>
        <v>5397</v>
      </c>
    </row>
    <row r="107" spans="1:10" hidden="1" x14ac:dyDescent="0.2">
      <c r="A107" s="422" t="s">
        <v>593</v>
      </c>
      <c r="B107" s="304">
        <f t="shared" ref="B107:G107" si="42">+B43</f>
        <v>0</v>
      </c>
      <c r="C107" s="304">
        <f t="shared" si="42"/>
        <v>0</v>
      </c>
      <c r="D107" s="304">
        <f t="shared" si="42"/>
        <v>0</v>
      </c>
      <c r="E107" s="304">
        <f t="shared" si="42"/>
        <v>0</v>
      </c>
      <c r="F107" s="304">
        <f t="shared" si="42"/>
        <v>0</v>
      </c>
      <c r="G107" s="304">
        <f t="shared" si="42"/>
        <v>0</v>
      </c>
      <c r="H107" s="304" t="s">
        <v>1467</v>
      </c>
      <c r="I107" s="304">
        <v>0</v>
      </c>
      <c r="J107" s="220">
        <f t="shared" si="40"/>
        <v>0</v>
      </c>
    </row>
    <row r="108" spans="1:10" hidden="1" x14ac:dyDescent="0.2">
      <c r="A108" s="422" t="s">
        <v>594</v>
      </c>
      <c r="B108" s="304">
        <f t="shared" ref="B108:G108" si="43">+B44</f>
        <v>0</v>
      </c>
      <c r="C108" s="304">
        <f t="shared" si="43"/>
        <v>0</v>
      </c>
      <c r="D108" s="304">
        <f t="shared" si="43"/>
        <v>0</v>
      </c>
      <c r="E108" s="304">
        <f t="shared" si="43"/>
        <v>0</v>
      </c>
      <c r="F108" s="304">
        <f t="shared" si="43"/>
        <v>0</v>
      </c>
      <c r="G108" s="304">
        <f t="shared" si="43"/>
        <v>0</v>
      </c>
      <c r="H108" s="219">
        <v>0</v>
      </c>
      <c r="I108" s="219">
        <v>0</v>
      </c>
      <c r="J108" s="220">
        <f t="shared" si="40"/>
        <v>0</v>
      </c>
    </row>
    <row r="109" spans="1:10" ht="36" hidden="1" x14ac:dyDescent="0.2">
      <c r="A109" s="422" t="s">
        <v>595</v>
      </c>
      <c r="B109" s="304">
        <f t="shared" ref="B109:G109" si="44">+B45</f>
        <v>0</v>
      </c>
      <c r="C109" s="304">
        <f t="shared" si="44"/>
        <v>0</v>
      </c>
      <c r="D109" s="304">
        <f t="shared" si="44"/>
        <v>0</v>
      </c>
      <c r="E109" s="304">
        <f t="shared" si="44"/>
        <v>0</v>
      </c>
      <c r="F109" s="304">
        <f t="shared" si="44"/>
        <v>0</v>
      </c>
      <c r="G109" s="304">
        <f t="shared" si="44"/>
        <v>0</v>
      </c>
      <c r="H109" s="219">
        <v>0</v>
      </c>
      <c r="I109" s="219">
        <v>0</v>
      </c>
      <c r="J109" s="220">
        <f t="shared" si="40"/>
        <v>0</v>
      </c>
    </row>
    <row r="110" spans="1:10" hidden="1" x14ac:dyDescent="0.2">
      <c r="A110" s="422" t="s">
        <v>596</v>
      </c>
      <c r="B110" s="304">
        <f t="shared" ref="B110:G110" si="45">+B46</f>
        <v>0</v>
      </c>
      <c r="C110" s="304">
        <f t="shared" si="45"/>
        <v>0</v>
      </c>
      <c r="D110" s="304">
        <f t="shared" si="45"/>
        <v>0</v>
      </c>
      <c r="E110" s="304">
        <f t="shared" si="45"/>
        <v>0</v>
      </c>
      <c r="F110" s="304">
        <f t="shared" si="45"/>
        <v>0</v>
      </c>
      <c r="G110" s="304">
        <f t="shared" si="45"/>
        <v>0</v>
      </c>
      <c r="H110" s="219">
        <v>0</v>
      </c>
      <c r="I110" s="219">
        <v>0</v>
      </c>
      <c r="J110" s="220">
        <f t="shared" si="40"/>
        <v>0</v>
      </c>
    </row>
    <row r="111" spans="1:10" x14ac:dyDescent="0.2">
      <c r="A111" s="422" t="s">
        <v>597</v>
      </c>
      <c r="B111" s="304">
        <f t="shared" ref="B111:G111" si="46">+B47</f>
        <v>0</v>
      </c>
      <c r="C111" s="304">
        <f t="shared" si="46"/>
        <v>-2232</v>
      </c>
      <c r="D111" s="304">
        <f t="shared" si="46"/>
        <v>0</v>
      </c>
      <c r="E111" s="304">
        <f t="shared" si="46"/>
        <v>0</v>
      </c>
      <c r="F111" s="304">
        <f t="shared" si="46"/>
        <v>0</v>
      </c>
      <c r="G111" s="304">
        <f t="shared" si="46"/>
        <v>0</v>
      </c>
      <c r="H111" s="219">
        <v>0</v>
      </c>
      <c r="I111" s="219">
        <v>0</v>
      </c>
      <c r="J111" s="220">
        <f t="shared" si="40"/>
        <v>-2232</v>
      </c>
    </row>
    <row r="112" spans="1:10" x14ac:dyDescent="0.2">
      <c r="A112" s="422" t="s">
        <v>518</v>
      </c>
      <c r="B112" s="304">
        <f t="shared" ref="B112:G112" si="47">+B48</f>
        <v>0</v>
      </c>
      <c r="C112" s="304">
        <f t="shared" si="47"/>
        <v>1712</v>
      </c>
      <c r="D112" s="304">
        <f t="shared" si="47"/>
        <v>0</v>
      </c>
      <c r="E112" s="304">
        <f t="shared" si="47"/>
        <v>0</v>
      </c>
      <c r="F112" s="304">
        <f t="shared" si="47"/>
        <v>0</v>
      </c>
      <c r="G112" s="304">
        <f t="shared" si="47"/>
        <v>0</v>
      </c>
      <c r="H112" s="219">
        <v>0</v>
      </c>
      <c r="I112" s="219">
        <v>0</v>
      </c>
      <c r="J112" s="220">
        <f t="shared" si="40"/>
        <v>1712</v>
      </c>
    </row>
    <row r="113" spans="1:10" hidden="1" x14ac:dyDescent="0.2">
      <c r="A113" s="422" t="s">
        <v>598</v>
      </c>
      <c r="B113" s="304">
        <f t="shared" ref="B113:G113" si="48">+B49</f>
        <v>0</v>
      </c>
      <c r="C113" s="304">
        <f t="shared" si="48"/>
        <v>0</v>
      </c>
      <c r="D113" s="304">
        <f t="shared" si="48"/>
        <v>0</v>
      </c>
      <c r="E113" s="304">
        <f t="shared" si="48"/>
        <v>0</v>
      </c>
      <c r="F113" s="304">
        <f t="shared" si="48"/>
        <v>0</v>
      </c>
      <c r="G113" s="304">
        <f t="shared" si="48"/>
        <v>0</v>
      </c>
      <c r="H113" s="219">
        <v>0</v>
      </c>
      <c r="I113" s="219">
        <v>0</v>
      </c>
      <c r="J113" s="220">
        <f t="shared" si="40"/>
        <v>0</v>
      </c>
    </row>
    <row r="114" spans="1:10" hidden="1" x14ac:dyDescent="0.2">
      <c r="A114" s="422" t="s">
        <v>599</v>
      </c>
      <c r="B114" s="304">
        <f t="shared" ref="B114:G114" si="49">+B50</f>
        <v>0</v>
      </c>
      <c r="C114" s="304">
        <f t="shared" si="49"/>
        <v>0</v>
      </c>
      <c r="D114" s="304">
        <f t="shared" si="49"/>
        <v>0</v>
      </c>
      <c r="E114" s="304">
        <f t="shared" si="49"/>
        <v>0</v>
      </c>
      <c r="F114" s="304">
        <f t="shared" si="49"/>
        <v>0</v>
      </c>
      <c r="G114" s="304">
        <f t="shared" si="49"/>
        <v>0</v>
      </c>
      <c r="H114" s="219">
        <v>0</v>
      </c>
      <c r="I114" s="219">
        <v>0</v>
      </c>
      <c r="J114" s="220">
        <f t="shared" si="40"/>
        <v>0</v>
      </c>
    </row>
    <row r="115" spans="1:10" ht="24" hidden="1" x14ac:dyDescent="0.2">
      <c r="A115" s="422" t="s">
        <v>519</v>
      </c>
      <c r="B115" s="304">
        <f t="shared" ref="B115:G115" si="50">+B51</f>
        <v>0</v>
      </c>
      <c r="C115" s="304">
        <f t="shared" si="50"/>
        <v>0</v>
      </c>
      <c r="D115" s="304">
        <f t="shared" si="50"/>
        <v>0</v>
      </c>
      <c r="E115" s="304">
        <f t="shared" si="50"/>
        <v>0</v>
      </c>
      <c r="F115" s="304">
        <f t="shared" si="50"/>
        <v>0</v>
      </c>
      <c r="G115" s="304">
        <f t="shared" si="50"/>
        <v>0</v>
      </c>
      <c r="H115" s="219">
        <v>0</v>
      </c>
      <c r="I115" s="219">
        <v>0</v>
      </c>
      <c r="J115" s="220">
        <f t="shared" si="40"/>
        <v>0</v>
      </c>
    </row>
    <row r="116" spans="1:10" ht="24" hidden="1" x14ac:dyDescent="0.2">
      <c r="A116" s="422" t="s">
        <v>526</v>
      </c>
      <c r="B116" s="304">
        <f t="shared" ref="B116:G116" si="51">+B52</f>
        <v>0</v>
      </c>
      <c r="C116" s="304">
        <f t="shared" si="51"/>
        <v>0</v>
      </c>
      <c r="D116" s="304">
        <f t="shared" si="51"/>
        <v>0</v>
      </c>
      <c r="E116" s="304">
        <f t="shared" si="51"/>
        <v>0</v>
      </c>
      <c r="F116" s="304">
        <f t="shared" si="51"/>
        <v>0</v>
      </c>
      <c r="G116" s="304">
        <f t="shared" si="51"/>
        <v>0</v>
      </c>
      <c r="H116" s="219">
        <v>0</v>
      </c>
      <c r="I116" s="219">
        <v>0</v>
      </c>
      <c r="J116" s="220">
        <f t="shared" si="40"/>
        <v>0</v>
      </c>
    </row>
    <row r="117" spans="1:10" ht="24" hidden="1" x14ac:dyDescent="0.2">
      <c r="A117" s="422" t="s">
        <v>600</v>
      </c>
      <c r="B117" s="304">
        <f t="shared" ref="B117:G117" si="52">+B53</f>
        <v>0</v>
      </c>
      <c r="C117" s="304">
        <f t="shared" si="52"/>
        <v>0</v>
      </c>
      <c r="D117" s="304">
        <f t="shared" si="52"/>
        <v>0</v>
      </c>
      <c r="E117" s="304">
        <f t="shared" si="52"/>
        <v>0</v>
      </c>
      <c r="F117" s="304">
        <f t="shared" si="52"/>
        <v>0</v>
      </c>
      <c r="G117" s="304">
        <f t="shared" si="52"/>
        <v>0</v>
      </c>
      <c r="H117" s="219">
        <v>0</v>
      </c>
      <c r="I117" s="219">
        <v>0</v>
      </c>
      <c r="J117" s="220">
        <f t="shared" si="40"/>
        <v>0</v>
      </c>
    </row>
    <row r="118" spans="1:10" ht="24" hidden="1" x14ac:dyDescent="0.2">
      <c r="A118" s="422" t="s">
        <v>527</v>
      </c>
      <c r="B118" s="304">
        <f t="shared" ref="B118:G118" si="53">+B54</f>
        <v>0</v>
      </c>
      <c r="C118" s="304">
        <f t="shared" si="53"/>
        <v>0</v>
      </c>
      <c r="D118" s="304">
        <f t="shared" si="53"/>
        <v>0</v>
      </c>
      <c r="E118" s="304">
        <f t="shared" si="53"/>
        <v>0</v>
      </c>
      <c r="F118" s="304">
        <f t="shared" si="53"/>
        <v>0</v>
      </c>
      <c r="G118" s="304">
        <f t="shared" si="53"/>
        <v>0</v>
      </c>
      <c r="H118" s="219">
        <v>0</v>
      </c>
      <c r="I118" s="219">
        <v>0</v>
      </c>
      <c r="J118" s="220">
        <f t="shared" si="40"/>
        <v>0</v>
      </c>
    </row>
    <row r="119" spans="1:10" ht="13.5" customHeight="1" x14ac:dyDescent="0.2">
      <c r="A119" s="422" t="s">
        <v>1409</v>
      </c>
      <c r="B119" s="304">
        <f t="shared" ref="B119:G119" si="54">+B55</f>
        <v>0</v>
      </c>
      <c r="C119" s="304">
        <f t="shared" si="54"/>
        <v>0</v>
      </c>
      <c r="D119" s="304">
        <f t="shared" si="54"/>
        <v>0</v>
      </c>
      <c r="E119" s="304">
        <f t="shared" si="54"/>
        <v>-477</v>
      </c>
      <c r="F119" s="304">
        <f t="shared" si="54"/>
        <v>0</v>
      </c>
      <c r="G119" s="304">
        <f t="shared" si="54"/>
        <v>0</v>
      </c>
      <c r="H119" s="219">
        <v>0</v>
      </c>
      <c r="I119" s="219">
        <v>0</v>
      </c>
      <c r="J119" s="220">
        <f t="shared" si="40"/>
        <v>-477</v>
      </c>
    </row>
    <row r="120" spans="1:10" hidden="1" x14ac:dyDescent="0.2">
      <c r="A120" s="422" t="s">
        <v>521</v>
      </c>
      <c r="B120" s="304">
        <f t="shared" ref="B120:G120" si="55">+B56</f>
        <v>0</v>
      </c>
      <c r="C120" s="304">
        <f t="shared" si="55"/>
        <v>0</v>
      </c>
      <c r="D120" s="304">
        <f t="shared" si="55"/>
        <v>0</v>
      </c>
      <c r="E120" s="304">
        <f t="shared" si="55"/>
        <v>0</v>
      </c>
      <c r="F120" s="304">
        <f t="shared" si="55"/>
        <v>0</v>
      </c>
      <c r="G120" s="304">
        <f t="shared" si="55"/>
        <v>0</v>
      </c>
      <c r="H120" s="219">
        <v>0</v>
      </c>
      <c r="I120" s="219">
        <v>0</v>
      </c>
      <c r="J120" s="220">
        <f t="shared" si="40"/>
        <v>0</v>
      </c>
    </row>
    <row r="121" spans="1:10" ht="24" hidden="1" x14ac:dyDescent="0.2">
      <c r="A121" s="422" t="s">
        <v>601</v>
      </c>
      <c r="B121" s="304">
        <f t="shared" ref="B121:G121" si="56">+B57</f>
        <v>0</v>
      </c>
      <c r="C121" s="304">
        <f t="shared" si="56"/>
        <v>0</v>
      </c>
      <c r="D121" s="304">
        <f t="shared" si="56"/>
        <v>0</v>
      </c>
      <c r="E121" s="304">
        <f t="shared" si="56"/>
        <v>0</v>
      </c>
      <c r="F121" s="304">
        <f t="shared" si="56"/>
        <v>0</v>
      </c>
      <c r="G121" s="304">
        <f t="shared" si="56"/>
        <v>0</v>
      </c>
      <c r="H121" s="219">
        <v>0</v>
      </c>
      <c r="I121" s="219">
        <v>0</v>
      </c>
      <c r="J121" s="220">
        <f t="shared" si="40"/>
        <v>0</v>
      </c>
    </row>
    <row r="122" spans="1:10" x14ac:dyDescent="0.2">
      <c r="A122" s="422" t="s">
        <v>602</v>
      </c>
      <c r="B122" s="304">
        <f>+B58</f>
        <v>2162</v>
      </c>
      <c r="C122" s="304">
        <f t="shared" ref="C122:G122" si="57">+C58</f>
        <v>0</v>
      </c>
      <c r="D122" s="304">
        <f t="shared" si="57"/>
        <v>0</v>
      </c>
      <c r="E122" s="304">
        <f t="shared" si="57"/>
        <v>0</v>
      </c>
      <c r="F122" s="304">
        <f t="shared" si="57"/>
        <v>0</v>
      </c>
      <c r="G122" s="304">
        <f t="shared" si="57"/>
        <v>0</v>
      </c>
      <c r="H122" s="219">
        <v>0</v>
      </c>
      <c r="I122" s="219">
        <v>0</v>
      </c>
      <c r="J122" s="220">
        <f t="shared" si="40"/>
        <v>2162</v>
      </c>
    </row>
    <row r="123" spans="1:10" hidden="1" x14ac:dyDescent="0.2">
      <c r="A123" s="422" t="s">
        <v>603</v>
      </c>
      <c r="B123" s="220">
        <f t="shared" ref="B123:G123" si="58">+B59</f>
        <v>0</v>
      </c>
      <c r="C123" s="220">
        <f t="shared" si="58"/>
        <v>0</v>
      </c>
      <c r="D123" s="220">
        <f t="shared" si="58"/>
        <v>0</v>
      </c>
      <c r="E123" s="220">
        <f t="shared" si="58"/>
        <v>0</v>
      </c>
      <c r="F123" s="220">
        <f t="shared" si="58"/>
        <v>0</v>
      </c>
      <c r="G123" s="220">
        <f t="shared" si="58"/>
        <v>0</v>
      </c>
      <c r="H123" s="219">
        <v>0</v>
      </c>
      <c r="I123" s="219">
        <v>0</v>
      </c>
      <c r="J123" s="220">
        <f t="shared" si="40"/>
        <v>0</v>
      </c>
    </row>
    <row r="124" spans="1:10" hidden="1" x14ac:dyDescent="0.2">
      <c r="A124" s="422" t="s">
        <v>604</v>
      </c>
      <c r="B124" s="220">
        <f t="shared" ref="B124:G124" si="59">+B60</f>
        <v>0</v>
      </c>
      <c r="C124" s="220">
        <f t="shared" si="59"/>
        <v>0</v>
      </c>
      <c r="D124" s="220">
        <f t="shared" si="59"/>
        <v>0</v>
      </c>
      <c r="E124" s="220">
        <f t="shared" si="59"/>
        <v>0</v>
      </c>
      <c r="F124" s="220">
        <f t="shared" si="59"/>
        <v>0</v>
      </c>
      <c r="G124" s="220">
        <f t="shared" si="59"/>
        <v>0</v>
      </c>
      <c r="H124" s="219">
        <v>0</v>
      </c>
      <c r="I124" s="219">
        <v>0</v>
      </c>
      <c r="J124" s="220">
        <f t="shared" si="40"/>
        <v>0</v>
      </c>
    </row>
    <row r="125" spans="1:10" hidden="1" x14ac:dyDescent="0.2">
      <c r="A125" s="422" t="s">
        <v>605</v>
      </c>
      <c r="B125" s="220">
        <f t="shared" ref="B125:G125" si="60">+B61</f>
        <v>0</v>
      </c>
      <c r="C125" s="220">
        <f t="shared" si="60"/>
        <v>0</v>
      </c>
      <c r="D125" s="220">
        <f t="shared" si="60"/>
        <v>0</v>
      </c>
      <c r="E125" s="220">
        <f t="shared" si="60"/>
        <v>0</v>
      </c>
      <c r="F125" s="220">
        <f t="shared" si="60"/>
        <v>0</v>
      </c>
      <c r="G125" s="220">
        <f t="shared" si="60"/>
        <v>0</v>
      </c>
      <c r="H125" s="219">
        <v>0</v>
      </c>
      <c r="I125" s="219">
        <v>0</v>
      </c>
      <c r="J125" s="220">
        <f t="shared" si="40"/>
        <v>0</v>
      </c>
    </row>
    <row r="126" spans="1:10" hidden="1" x14ac:dyDescent="0.2">
      <c r="A126" s="422" t="s">
        <v>524</v>
      </c>
      <c r="B126" s="220">
        <f t="shared" ref="B126:G126" si="61">+B62</f>
        <v>0</v>
      </c>
      <c r="C126" s="220">
        <f t="shared" si="61"/>
        <v>0</v>
      </c>
      <c r="D126" s="220">
        <f t="shared" si="61"/>
        <v>0</v>
      </c>
      <c r="E126" s="220">
        <f t="shared" si="61"/>
        <v>0</v>
      </c>
      <c r="F126" s="220">
        <f t="shared" si="61"/>
        <v>0</v>
      </c>
      <c r="G126" s="220">
        <f t="shared" si="61"/>
        <v>0</v>
      </c>
      <c r="H126" s="219">
        <v>0</v>
      </c>
      <c r="I126" s="219">
        <v>0</v>
      </c>
      <c r="J126" s="220">
        <f>SUM(B126:I126)</f>
        <v>0</v>
      </c>
    </row>
    <row r="127" spans="1:10" ht="13.5" customHeight="1" thickBot="1" x14ac:dyDescent="0.25">
      <c r="A127" s="289" t="str">
        <f>"Taxpayers' and others' equity at " &amp; TEXT(ComparativeYearEnd, "d mmmm yyyy")</f>
        <v>Taxpayers' and others' equity at 31 March 2021</v>
      </c>
      <c r="B127" s="206">
        <f t="shared" ref="B127:J127" si="62">SUM(B104:B126)</f>
        <v>29692.87</v>
      </c>
      <c r="C127" s="206">
        <f t="shared" si="62"/>
        <v>7813.0368299999991</v>
      </c>
      <c r="D127" s="206">
        <f t="shared" si="62"/>
        <v>0</v>
      </c>
      <c r="E127" s="206">
        <f t="shared" si="62"/>
        <v>700.68963000000008</v>
      </c>
      <c r="F127" s="206">
        <f t="shared" si="62"/>
        <v>0</v>
      </c>
      <c r="G127" s="206">
        <f t="shared" si="62"/>
        <v>59950</v>
      </c>
      <c r="H127" s="206">
        <f t="shared" si="62"/>
        <v>0</v>
      </c>
      <c r="I127" s="206">
        <f t="shared" si="62"/>
        <v>0</v>
      </c>
      <c r="J127" s="206">
        <f t="shared" si="62"/>
        <v>98156.596460000001</v>
      </c>
    </row>
    <row r="128" spans="1:10" ht="12.75" thickTop="1" x14ac:dyDescent="0.2"/>
  </sheetData>
  <pageMargins left="0.70866141732283472" right="0.70866141732283472" top="0.74803149606299213" bottom="0.74803149606299213" header="0.31496062992125984" footer="0.31496062992125984"/>
  <pageSetup paperSize="9" scale="88" orientation="portrait" verticalDpi="0" r:id="rId1"/>
  <headerFooter>
    <oddFooter>&amp;RPage &amp;P of &amp;N</oddFooter>
  </headerFooter>
  <rowBreaks count="1" manualBreakCount="1">
    <brk id="33" max="16383" man="1"/>
  </rowBreaks>
  <ignoredErrors>
    <ignoredError sqref="B37:J37 B70:J70 B6:J6 B101:J10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A1:H33"/>
  <sheetViews>
    <sheetView showGridLines="0" topLeftCell="A4" zoomScaleNormal="100" workbookViewId="0">
      <selection activeCell="A3" sqref="A3:H33"/>
    </sheetView>
  </sheetViews>
  <sheetFormatPr defaultRowHeight="15" x14ac:dyDescent="0.25"/>
  <cols>
    <col min="1" max="8" width="10.85546875" style="125" customWidth="1"/>
  </cols>
  <sheetData>
    <row r="1" spans="1:8" s="317" customFormat="1" x14ac:dyDescent="0.25">
      <c r="A1" s="350" t="s">
        <v>1310</v>
      </c>
      <c r="B1" s="351"/>
      <c r="C1" s="351"/>
      <c r="D1" s="351"/>
      <c r="E1" s="351"/>
      <c r="F1" s="351"/>
      <c r="G1" s="351"/>
      <c r="H1" s="351"/>
    </row>
    <row r="2" spans="1:8" s="317" customFormat="1" x14ac:dyDescent="0.25">
      <c r="A2" s="125"/>
      <c r="B2" s="125"/>
      <c r="C2" s="125"/>
      <c r="D2" s="125"/>
      <c r="E2" s="125"/>
      <c r="F2" s="125"/>
      <c r="G2" s="125"/>
      <c r="H2" s="125"/>
    </row>
    <row r="3" spans="1:8" ht="15" customHeight="1" x14ac:dyDescent="0.25">
      <c r="A3" s="444" t="s">
        <v>1410</v>
      </c>
      <c r="B3" s="444"/>
      <c r="C3" s="444"/>
      <c r="D3" s="444"/>
      <c r="E3" s="444"/>
      <c r="F3" s="444"/>
      <c r="G3" s="444"/>
      <c r="H3" s="444"/>
    </row>
    <row r="4" spans="1:8" x14ac:dyDescent="0.25">
      <c r="A4" s="444"/>
      <c r="B4" s="444"/>
      <c r="C4" s="444"/>
      <c r="D4" s="444"/>
      <c r="E4" s="444"/>
      <c r="F4" s="444"/>
      <c r="G4" s="444"/>
      <c r="H4" s="444"/>
    </row>
    <row r="5" spans="1:8" x14ac:dyDescent="0.25">
      <c r="A5" s="444"/>
      <c r="B5" s="444"/>
      <c r="C5" s="444"/>
      <c r="D5" s="444"/>
      <c r="E5" s="444"/>
      <c r="F5" s="444"/>
      <c r="G5" s="444"/>
      <c r="H5" s="444"/>
    </row>
    <row r="6" spans="1:8" x14ac:dyDescent="0.25">
      <c r="A6" s="444"/>
      <c r="B6" s="444"/>
      <c r="C6" s="444"/>
      <c r="D6" s="444"/>
      <c r="E6" s="444"/>
      <c r="F6" s="444"/>
      <c r="G6" s="444"/>
      <c r="H6" s="444"/>
    </row>
    <row r="7" spans="1:8" x14ac:dyDescent="0.25">
      <c r="A7" s="444"/>
      <c r="B7" s="444"/>
      <c r="C7" s="444"/>
      <c r="D7" s="444"/>
      <c r="E7" s="444"/>
      <c r="F7" s="444"/>
      <c r="G7" s="444"/>
      <c r="H7" s="444"/>
    </row>
    <row r="8" spans="1:8" x14ac:dyDescent="0.25">
      <c r="A8" s="444"/>
      <c r="B8" s="444"/>
      <c r="C8" s="444"/>
      <c r="D8" s="444"/>
      <c r="E8" s="444"/>
      <c r="F8" s="444"/>
      <c r="G8" s="444"/>
      <c r="H8" s="444"/>
    </row>
    <row r="9" spans="1:8" x14ac:dyDescent="0.25">
      <c r="A9" s="444"/>
      <c r="B9" s="444"/>
      <c r="C9" s="444"/>
      <c r="D9" s="444"/>
      <c r="E9" s="444"/>
      <c r="F9" s="444"/>
      <c r="G9" s="444"/>
      <c r="H9" s="444"/>
    </row>
    <row r="10" spans="1:8" x14ac:dyDescent="0.25">
      <c r="A10" s="444"/>
      <c r="B10" s="444"/>
      <c r="C10" s="444"/>
      <c r="D10" s="444"/>
      <c r="E10" s="444"/>
      <c r="F10" s="444"/>
      <c r="G10" s="444"/>
      <c r="H10" s="444"/>
    </row>
    <row r="11" spans="1:8" x14ac:dyDescent="0.25">
      <c r="A11" s="444"/>
      <c r="B11" s="444"/>
      <c r="C11" s="444"/>
      <c r="D11" s="444"/>
      <c r="E11" s="444"/>
      <c r="F11" s="444"/>
      <c r="G11" s="444"/>
      <c r="H11" s="444"/>
    </row>
    <row r="12" spans="1:8" x14ac:dyDescent="0.25">
      <c r="A12" s="444"/>
      <c r="B12" s="444"/>
      <c r="C12" s="444"/>
      <c r="D12" s="444"/>
      <c r="E12" s="444"/>
      <c r="F12" s="444"/>
      <c r="G12" s="444"/>
      <c r="H12" s="444"/>
    </row>
    <row r="13" spans="1:8" x14ac:dyDescent="0.25">
      <c r="A13" s="444"/>
      <c r="B13" s="444"/>
      <c r="C13" s="444"/>
      <c r="D13" s="444"/>
      <c r="E13" s="444"/>
      <c r="F13" s="444"/>
      <c r="G13" s="444"/>
      <c r="H13" s="444"/>
    </row>
    <row r="14" spans="1:8" x14ac:dyDescent="0.25">
      <c r="A14" s="444"/>
      <c r="B14" s="444"/>
      <c r="C14" s="444"/>
      <c r="D14" s="444"/>
      <c r="E14" s="444"/>
      <c r="F14" s="444"/>
      <c r="G14" s="444"/>
      <c r="H14" s="444"/>
    </row>
    <row r="15" spans="1:8" x14ac:dyDescent="0.25">
      <c r="A15" s="444"/>
      <c r="B15" s="444"/>
      <c r="C15" s="444"/>
      <c r="D15" s="444"/>
      <c r="E15" s="444"/>
      <c r="F15" s="444"/>
      <c r="G15" s="444"/>
      <c r="H15" s="444"/>
    </row>
    <row r="16" spans="1:8" x14ac:dyDescent="0.25">
      <c r="A16" s="444"/>
      <c r="B16" s="444"/>
      <c r="C16" s="444"/>
      <c r="D16" s="444"/>
      <c r="E16" s="444"/>
      <c r="F16" s="444"/>
      <c r="G16" s="444"/>
      <c r="H16" s="444"/>
    </row>
    <row r="17" spans="1:8" x14ac:dyDescent="0.25">
      <c r="A17" s="444"/>
      <c r="B17" s="444"/>
      <c r="C17" s="444"/>
      <c r="D17" s="444"/>
      <c r="E17" s="444"/>
      <c r="F17" s="444"/>
      <c r="G17" s="444"/>
      <c r="H17" s="444"/>
    </row>
    <row r="18" spans="1:8" x14ac:dyDescent="0.25">
      <c r="A18" s="444"/>
      <c r="B18" s="444"/>
      <c r="C18" s="444"/>
      <c r="D18" s="444"/>
      <c r="E18" s="444"/>
      <c r="F18" s="444"/>
      <c r="G18" s="444"/>
      <c r="H18" s="444"/>
    </row>
    <row r="19" spans="1:8" x14ac:dyDescent="0.25">
      <c r="A19" s="444"/>
      <c r="B19" s="444"/>
      <c r="C19" s="444"/>
      <c r="D19" s="444"/>
      <c r="E19" s="444"/>
      <c r="F19" s="444"/>
      <c r="G19" s="444"/>
      <c r="H19" s="444"/>
    </row>
    <row r="20" spans="1:8" x14ac:dyDescent="0.25">
      <c r="A20" s="444"/>
      <c r="B20" s="444"/>
      <c r="C20" s="444"/>
      <c r="D20" s="444"/>
      <c r="E20" s="444"/>
      <c r="F20" s="444"/>
      <c r="G20" s="444"/>
      <c r="H20" s="444"/>
    </row>
    <row r="21" spans="1:8" x14ac:dyDescent="0.25">
      <c r="A21" s="444"/>
      <c r="B21" s="444"/>
      <c r="C21" s="444"/>
      <c r="D21" s="444"/>
      <c r="E21" s="444"/>
      <c r="F21" s="444"/>
      <c r="G21" s="444"/>
      <c r="H21" s="444"/>
    </row>
    <row r="22" spans="1:8" x14ac:dyDescent="0.25">
      <c r="A22" s="444"/>
      <c r="B22" s="444"/>
      <c r="C22" s="444"/>
      <c r="D22" s="444"/>
      <c r="E22" s="444"/>
      <c r="F22" s="444"/>
      <c r="G22" s="444"/>
      <c r="H22" s="444"/>
    </row>
    <row r="23" spans="1:8" x14ac:dyDescent="0.25">
      <c r="A23" s="444"/>
      <c r="B23" s="444"/>
      <c r="C23" s="444"/>
      <c r="D23" s="444"/>
      <c r="E23" s="444"/>
      <c r="F23" s="444"/>
      <c r="G23" s="444"/>
      <c r="H23" s="444"/>
    </row>
    <row r="24" spans="1:8" x14ac:dyDescent="0.25">
      <c r="A24" s="444"/>
      <c r="B24" s="444"/>
      <c r="C24" s="444"/>
      <c r="D24" s="444"/>
      <c r="E24" s="444"/>
      <c r="F24" s="444"/>
      <c r="G24" s="444"/>
      <c r="H24" s="444"/>
    </row>
    <row r="25" spans="1:8" x14ac:dyDescent="0.25">
      <c r="A25" s="444"/>
      <c r="B25" s="444"/>
      <c r="C25" s="444"/>
      <c r="D25" s="444"/>
      <c r="E25" s="444"/>
      <c r="F25" s="444"/>
      <c r="G25" s="444"/>
      <c r="H25" s="444"/>
    </row>
    <row r="26" spans="1:8" x14ac:dyDescent="0.25">
      <c r="A26" s="444"/>
      <c r="B26" s="444"/>
      <c r="C26" s="444"/>
      <c r="D26" s="444"/>
      <c r="E26" s="444"/>
      <c r="F26" s="444"/>
      <c r="G26" s="444"/>
      <c r="H26" s="444"/>
    </row>
    <row r="27" spans="1:8" x14ac:dyDescent="0.25">
      <c r="A27" s="444"/>
      <c r="B27" s="444"/>
      <c r="C27" s="444"/>
      <c r="D27" s="444"/>
      <c r="E27" s="444"/>
      <c r="F27" s="444"/>
      <c r="G27" s="444"/>
      <c r="H27" s="444"/>
    </row>
    <row r="28" spans="1:8" x14ac:dyDescent="0.25">
      <c r="A28" s="444"/>
      <c r="B28" s="444"/>
      <c r="C28" s="444"/>
      <c r="D28" s="444"/>
      <c r="E28" s="444"/>
      <c r="F28" s="444"/>
      <c r="G28" s="444"/>
      <c r="H28" s="444"/>
    </row>
    <row r="29" spans="1:8" x14ac:dyDescent="0.25">
      <c r="A29" s="444"/>
      <c r="B29" s="444"/>
      <c r="C29" s="444"/>
      <c r="D29" s="444"/>
      <c r="E29" s="444"/>
      <c r="F29" s="444"/>
      <c r="G29" s="444"/>
      <c r="H29" s="444"/>
    </row>
    <row r="30" spans="1:8" s="265" customFormat="1" x14ac:dyDescent="0.25">
      <c r="A30" s="444"/>
      <c r="B30" s="444"/>
      <c r="C30" s="444"/>
      <c r="D30" s="444"/>
      <c r="E30" s="444"/>
      <c r="F30" s="444"/>
      <c r="G30" s="444"/>
      <c r="H30" s="444"/>
    </row>
    <row r="31" spans="1:8" x14ac:dyDescent="0.25">
      <c r="A31" s="444"/>
      <c r="B31" s="444"/>
      <c r="C31" s="444"/>
      <c r="D31" s="444"/>
      <c r="E31" s="444"/>
      <c r="F31" s="444"/>
      <c r="G31" s="444"/>
      <c r="H31" s="444"/>
    </row>
    <row r="32" spans="1:8" s="297" customFormat="1" x14ac:dyDescent="0.25">
      <c r="A32" s="444"/>
      <c r="B32" s="444"/>
      <c r="C32" s="444"/>
      <c r="D32" s="444"/>
      <c r="E32" s="444"/>
      <c r="F32" s="444"/>
      <c r="G32" s="444"/>
      <c r="H32" s="444"/>
    </row>
    <row r="33" spans="1:8" x14ac:dyDescent="0.25">
      <c r="A33" s="444"/>
      <c r="B33" s="444"/>
      <c r="C33" s="444"/>
      <c r="D33" s="444"/>
      <c r="E33" s="444"/>
      <c r="F33" s="444"/>
      <c r="G33" s="444"/>
      <c r="H33" s="444"/>
    </row>
  </sheetData>
  <customSheetViews>
    <customSheetView guid="{EDC1BD6E-863A-4FC6-A3A9-F32079F4F0C1}">
      <selection activeCell="E33" sqref="E33"/>
      <pageMargins left="0" right="0" top="0" bottom="0" header="0" footer="0"/>
      <pageSetup paperSize="9" orientation="portrait" verticalDpi="0" r:id="rId1"/>
    </customSheetView>
  </customSheetViews>
  <mergeCells count="1">
    <mergeCell ref="A3:H33"/>
  </mergeCells>
  <pageMargins left="0.70866141732283472" right="0.70866141732283472" top="0.74803149606299213" bottom="0.74803149606299213" header="0.31496062992125984" footer="0.31496062992125984"/>
  <pageSetup paperSize="9" fitToHeight="0" orientation="portrait" verticalDpi="0" r:id="rId2"/>
  <headerFooter>
    <oddFooter>&amp;RPage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K62"/>
  <sheetViews>
    <sheetView showGridLines="0" zoomScaleNormal="100" workbookViewId="0">
      <selection activeCell="J6" sqref="J6"/>
    </sheetView>
  </sheetViews>
  <sheetFormatPr defaultColWidth="9.140625" defaultRowHeight="14.1" customHeight="1" x14ac:dyDescent="0.2"/>
  <cols>
    <col min="1" max="1" width="3.5703125" style="3" customWidth="1"/>
    <col min="2" max="2" width="42" style="12" customWidth="1"/>
    <col min="3" max="3" width="3.42578125" style="108" customWidth="1"/>
    <col min="4" max="4" width="9.85546875" style="3" customWidth="1"/>
    <col min="5" max="5" width="0.7109375" style="45" customWidth="1"/>
    <col min="6" max="6" width="9.85546875" style="3" customWidth="1"/>
    <col min="7" max="7" width="0.7109375" style="3" customWidth="1"/>
    <col min="8" max="8" width="9.85546875" style="3" customWidth="1"/>
    <col min="9" max="9" width="0.7109375" style="45" customWidth="1"/>
    <col min="10" max="10" width="9.85546875" style="3" customWidth="1"/>
    <col min="11" max="16384" width="9.140625" style="3"/>
  </cols>
  <sheetData>
    <row r="1" spans="1:11" s="222" customFormat="1" ht="14.1" customHeight="1" x14ac:dyDescent="0.2">
      <c r="A1" s="350" t="s">
        <v>1310</v>
      </c>
      <c r="B1" s="350"/>
      <c r="C1" s="351"/>
      <c r="D1" s="351"/>
      <c r="E1" s="351"/>
      <c r="F1" s="351"/>
      <c r="G1" s="351"/>
      <c r="H1" s="351"/>
      <c r="I1" s="351"/>
      <c r="J1" s="351"/>
    </row>
    <row r="2" spans="1:11" s="222" customFormat="1" ht="14.1" customHeight="1" x14ac:dyDescent="0.2">
      <c r="B2" s="12"/>
      <c r="C2" s="108"/>
      <c r="E2" s="219"/>
      <c r="I2" s="219"/>
    </row>
    <row r="3" spans="1:11" ht="15.75" customHeight="1" x14ac:dyDescent="0.25">
      <c r="B3" s="131" t="s">
        <v>607</v>
      </c>
      <c r="C3" s="263"/>
      <c r="D3" s="152"/>
      <c r="E3" s="152"/>
      <c r="F3" s="152"/>
      <c r="G3" s="152"/>
      <c r="H3" s="152"/>
      <c r="I3" s="152"/>
      <c r="J3" s="152"/>
      <c r="K3" s="2"/>
    </row>
    <row r="4" spans="1:11" ht="14.1" customHeight="1" x14ac:dyDescent="0.2">
      <c r="B4" s="316"/>
      <c r="C4" s="323"/>
      <c r="D4" s="443" t="s">
        <v>500</v>
      </c>
      <c r="E4" s="443"/>
      <c r="F4" s="443"/>
      <c r="G4" s="52"/>
      <c r="H4" s="443" t="s">
        <v>94</v>
      </c>
      <c r="I4" s="443"/>
      <c r="J4" s="443"/>
      <c r="K4" s="222"/>
    </row>
    <row r="5" spans="1:11" ht="14.1" customHeight="1" x14ac:dyDescent="0.2">
      <c r="B5" s="316"/>
      <c r="C5" s="323"/>
      <c r="D5" s="290" t="str">
        <f>CurrentFY</f>
        <v>2021/22</v>
      </c>
      <c r="E5" s="219"/>
      <c r="F5" s="290" t="str">
        <f>ComparativeFY</f>
        <v>2020/21</v>
      </c>
      <c r="G5" s="52"/>
      <c r="H5" s="290" t="str">
        <f>CurrentFY</f>
        <v>2021/22</v>
      </c>
      <c r="I5" s="219"/>
      <c r="J5" s="290" t="str">
        <f>ComparativeFY</f>
        <v>2020/21</v>
      </c>
      <c r="K5" s="222"/>
    </row>
    <row r="6" spans="1:11" ht="14.1" customHeight="1" x14ac:dyDescent="0.2">
      <c r="B6" s="316"/>
      <c r="C6" s="228" t="s">
        <v>501</v>
      </c>
      <c r="D6" s="290" t="s">
        <v>590</v>
      </c>
      <c r="E6" s="219"/>
      <c r="F6" s="290" t="s">
        <v>590</v>
      </c>
      <c r="G6" s="52"/>
      <c r="H6" s="290" t="s">
        <v>590</v>
      </c>
      <c r="I6" s="219"/>
      <c r="J6" s="290" t="s">
        <v>590</v>
      </c>
      <c r="K6" s="222"/>
    </row>
    <row r="7" spans="1:11" ht="14.1" customHeight="1" x14ac:dyDescent="0.2">
      <c r="B7" s="289" t="s">
        <v>608</v>
      </c>
      <c r="C7" s="332"/>
      <c r="D7" s="316"/>
      <c r="E7" s="219"/>
      <c r="F7" s="316"/>
      <c r="G7" s="52"/>
      <c r="H7" s="316"/>
      <c r="I7" s="219"/>
      <c r="J7" s="316"/>
      <c r="K7" s="222"/>
    </row>
    <row r="8" spans="1:11" ht="14.1" customHeight="1" x14ac:dyDescent="0.2">
      <c r="B8" s="327" t="s">
        <v>1411</v>
      </c>
      <c r="C8" s="154"/>
      <c r="D8" s="219">
        <v>20632.434207059559</v>
      </c>
      <c r="E8" s="219"/>
      <c r="F8" s="219">
        <v>6289</v>
      </c>
      <c r="G8" s="52"/>
      <c r="H8" s="219">
        <v>20981.434207059559</v>
      </c>
      <c r="I8" s="219"/>
      <c r="J8" s="219">
        <v>6420</v>
      </c>
      <c r="K8" s="222"/>
    </row>
    <row r="9" spans="1:11" ht="14.1" customHeight="1" x14ac:dyDescent="0.2">
      <c r="B9" s="289" t="s">
        <v>609</v>
      </c>
      <c r="C9" s="332"/>
      <c r="D9" s="219"/>
      <c r="E9" s="219"/>
      <c r="F9" s="219"/>
      <c r="G9" s="52"/>
      <c r="H9" s="219"/>
      <c r="I9" s="219"/>
      <c r="J9" s="219"/>
      <c r="K9" s="222"/>
    </row>
    <row r="10" spans="1:11" ht="14.1" customHeight="1" x14ac:dyDescent="0.2">
      <c r="B10" s="183" t="s">
        <v>610</v>
      </c>
      <c r="C10" s="154">
        <f>'Op Exp'!A3</f>
        <v>6.1</v>
      </c>
      <c r="D10" s="219">
        <v>8512</v>
      </c>
      <c r="E10" s="219"/>
      <c r="F10" s="219">
        <v>8630</v>
      </c>
      <c r="G10" s="52"/>
      <c r="H10" s="219">
        <v>8367.5653999999995</v>
      </c>
      <c r="I10" s="219"/>
      <c r="J10" s="219">
        <v>8582</v>
      </c>
      <c r="K10" s="222"/>
    </row>
    <row r="11" spans="1:11" ht="14.1" customHeight="1" x14ac:dyDescent="0.2">
      <c r="B11" s="183" t="s">
        <v>611</v>
      </c>
      <c r="C11" s="154">
        <f>'Audit &amp; Impair'!A22</f>
        <v>7</v>
      </c>
      <c r="D11" s="219">
        <v>187</v>
      </c>
      <c r="E11" s="219"/>
      <c r="F11" s="219">
        <v>1017</v>
      </c>
      <c r="G11" s="52"/>
      <c r="H11" s="219">
        <v>187</v>
      </c>
      <c r="I11" s="219"/>
      <c r="J11" s="219">
        <v>1017</v>
      </c>
      <c r="K11" s="222"/>
    </row>
    <row r="12" spans="1:11" ht="13.7" customHeight="1" x14ac:dyDescent="0.2">
      <c r="B12" s="327" t="s">
        <v>612</v>
      </c>
      <c r="C12" s="154">
        <f>'Op Inc 2'!A11</f>
        <v>4</v>
      </c>
      <c r="D12" s="219">
        <v>-133</v>
      </c>
      <c r="E12" s="219"/>
      <c r="F12" s="219">
        <v>-44</v>
      </c>
      <c r="G12" s="52"/>
      <c r="H12" s="219">
        <v>-133</v>
      </c>
      <c r="I12" s="219"/>
      <c r="J12" s="219">
        <v>-44</v>
      </c>
      <c r="K12" s="222"/>
    </row>
    <row r="13" spans="1:11" ht="14.1" hidden="1" customHeight="1" x14ac:dyDescent="0.2">
      <c r="B13" s="183" t="s">
        <v>613</v>
      </c>
      <c r="C13" s="154"/>
      <c r="D13" s="219">
        <v>0</v>
      </c>
      <c r="E13" s="219"/>
      <c r="F13" s="219">
        <v>0</v>
      </c>
      <c r="G13" s="52"/>
      <c r="H13" s="219">
        <v>0</v>
      </c>
      <c r="I13" s="219"/>
      <c r="J13" s="219">
        <v>0</v>
      </c>
      <c r="K13" s="222"/>
    </row>
    <row r="14" spans="1:11" ht="14.1" hidden="1" customHeight="1" x14ac:dyDescent="0.2">
      <c r="B14" s="183" t="s">
        <v>614</v>
      </c>
      <c r="C14" s="154"/>
      <c r="D14" s="219">
        <v>0</v>
      </c>
      <c r="E14" s="219"/>
      <c r="F14" s="219">
        <v>0</v>
      </c>
      <c r="G14" s="52"/>
      <c r="H14" s="219">
        <v>0</v>
      </c>
      <c r="I14" s="219"/>
      <c r="J14" s="219">
        <v>0</v>
      </c>
      <c r="K14" s="222"/>
    </row>
    <row r="15" spans="1:11" ht="14.1" customHeight="1" x14ac:dyDescent="0.2">
      <c r="B15" s="183" t="s">
        <v>615</v>
      </c>
      <c r="C15" s="154"/>
      <c r="D15" s="219">
        <v>-3957</v>
      </c>
      <c r="E15" s="219"/>
      <c r="F15" s="219">
        <v>1947.5</v>
      </c>
      <c r="G15" s="52"/>
      <c r="H15" s="219">
        <v>-3934</v>
      </c>
      <c r="I15" s="219"/>
      <c r="J15" s="219">
        <v>2526.5000000000009</v>
      </c>
      <c r="K15" s="222"/>
    </row>
    <row r="16" spans="1:11" ht="14.1" customHeight="1" x14ac:dyDescent="0.2">
      <c r="B16" s="183" t="s">
        <v>1412</v>
      </c>
      <c r="C16" s="154"/>
      <c r="D16" s="219">
        <v>-117.14801999999509</v>
      </c>
      <c r="E16" s="219"/>
      <c r="F16" s="219">
        <v>-142</v>
      </c>
      <c r="G16" s="52"/>
      <c r="H16" s="219">
        <v>-130.14801999999509</v>
      </c>
      <c r="I16" s="219"/>
      <c r="J16" s="219">
        <v>-115</v>
      </c>
      <c r="K16" s="222"/>
    </row>
    <row r="17" spans="2:11" ht="14.1" customHeight="1" x14ac:dyDescent="0.2">
      <c r="B17" s="183" t="s">
        <v>1413</v>
      </c>
      <c r="C17" s="154"/>
      <c r="D17" s="219">
        <v>-4116</v>
      </c>
      <c r="E17" s="219"/>
      <c r="F17" s="219">
        <v>14153.53</v>
      </c>
      <c r="G17" s="52"/>
      <c r="H17" s="219">
        <v>-4791</v>
      </c>
      <c r="I17" s="219"/>
      <c r="J17" s="219">
        <v>12733.530000000006</v>
      </c>
      <c r="K17" s="222"/>
    </row>
    <row r="18" spans="2:11" ht="14.1" customHeight="1" x14ac:dyDescent="0.2">
      <c r="B18" s="183" t="s">
        <v>1414</v>
      </c>
      <c r="C18" s="154"/>
      <c r="D18" s="219">
        <v>-10</v>
      </c>
      <c r="E18" s="219"/>
      <c r="F18" s="219">
        <v>1294</v>
      </c>
      <c r="G18" s="52"/>
      <c r="H18" s="219">
        <v>-80</v>
      </c>
      <c r="I18" s="219"/>
      <c r="J18" s="219">
        <v>1222</v>
      </c>
      <c r="K18" s="222"/>
    </row>
    <row r="19" spans="2:11" ht="14.1" hidden="1" customHeight="1" x14ac:dyDescent="0.2">
      <c r="B19" s="227" t="s">
        <v>616</v>
      </c>
      <c r="C19" s="154"/>
      <c r="D19" s="219">
        <v>0</v>
      </c>
      <c r="E19" s="219"/>
      <c r="F19" s="219">
        <v>0</v>
      </c>
      <c r="G19" s="52"/>
      <c r="H19" s="219">
        <v>0</v>
      </c>
      <c r="I19" s="219"/>
      <c r="J19" s="219">
        <v>0</v>
      </c>
    </row>
    <row r="20" spans="2:11" ht="14.1" hidden="1" customHeight="1" x14ac:dyDescent="0.2">
      <c r="B20" s="183" t="s">
        <v>617</v>
      </c>
      <c r="C20" s="154"/>
      <c r="D20" s="219">
        <v>0</v>
      </c>
      <c r="E20" s="219"/>
      <c r="F20" s="219">
        <v>0</v>
      </c>
      <c r="G20" s="52"/>
      <c r="H20" s="219">
        <v>0</v>
      </c>
      <c r="I20" s="219"/>
      <c r="J20" s="219">
        <v>0</v>
      </c>
    </row>
    <row r="21" spans="2:11" ht="14.1" hidden="1" customHeight="1" x14ac:dyDescent="0.2">
      <c r="B21" s="183" t="s">
        <v>618</v>
      </c>
      <c r="C21" s="154"/>
      <c r="D21" s="219">
        <v>0</v>
      </c>
      <c r="E21" s="219"/>
      <c r="F21" s="219">
        <v>0</v>
      </c>
      <c r="G21" s="52"/>
      <c r="H21" s="219">
        <v>0</v>
      </c>
      <c r="I21" s="219"/>
      <c r="J21" s="219">
        <v>0</v>
      </c>
    </row>
    <row r="22" spans="2:11" ht="14.1" hidden="1" customHeight="1" x14ac:dyDescent="0.2">
      <c r="B22" s="183" t="s">
        <v>619</v>
      </c>
      <c r="C22" s="154"/>
      <c r="D22" s="219">
        <v>0</v>
      </c>
      <c r="E22" s="219"/>
      <c r="F22" s="219">
        <v>0</v>
      </c>
      <c r="G22" s="52"/>
      <c r="H22" s="219">
        <v>0</v>
      </c>
      <c r="I22" s="219"/>
      <c r="J22" s="219">
        <v>0</v>
      </c>
    </row>
    <row r="23" spans="2:11" ht="14.1" customHeight="1" x14ac:dyDescent="0.2">
      <c r="B23" s="289" t="s">
        <v>1415</v>
      </c>
      <c r="C23" s="332"/>
      <c r="D23" s="207">
        <f>SUM(D8:D22)</f>
        <v>20998.286187059566</v>
      </c>
      <c r="E23" s="219"/>
      <c r="F23" s="207">
        <f>SUM(F8:F22)</f>
        <v>33145.03</v>
      </c>
      <c r="G23" s="52"/>
      <c r="H23" s="207">
        <f>SUM(H8:H22)</f>
        <v>20467.851587059566</v>
      </c>
      <c r="I23" s="219"/>
      <c r="J23" s="207">
        <f>SUM(J8:J22)</f>
        <v>32342.030000000006</v>
      </c>
    </row>
    <row r="24" spans="2:11" ht="14.1" customHeight="1" x14ac:dyDescent="0.2">
      <c r="B24" s="289" t="s">
        <v>620</v>
      </c>
      <c r="C24" s="332"/>
      <c r="D24" s="219"/>
      <c r="E24" s="219"/>
      <c r="F24" s="219"/>
      <c r="G24" s="52"/>
      <c r="H24" s="219"/>
      <c r="I24" s="219"/>
      <c r="J24" s="219"/>
    </row>
    <row r="25" spans="2:11" ht="14.1" customHeight="1" x14ac:dyDescent="0.2">
      <c r="B25" s="327" t="s">
        <v>621</v>
      </c>
      <c r="C25" s="154"/>
      <c r="D25" s="219">
        <v>35</v>
      </c>
      <c r="E25" s="219"/>
      <c r="F25" s="219">
        <v>0</v>
      </c>
      <c r="G25" s="52"/>
      <c r="H25" s="219">
        <v>35</v>
      </c>
      <c r="I25" s="219"/>
      <c r="J25" s="219">
        <v>0</v>
      </c>
    </row>
    <row r="26" spans="2:11" ht="14.1" customHeight="1" x14ac:dyDescent="0.2">
      <c r="B26" s="327" t="s">
        <v>1441</v>
      </c>
      <c r="C26" s="154"/>
      <c r="D26" s="219">
        <v>0</v>
      </c>
      <c r="E26" s="219"/>
      <c r="F26" s="219">
        <v>0</v>
      </c>
      <c r="G26" s="52"/>
      <c r="H26" s="219">
        <v>0</v>
      </c>
      <c r="I26" s="219"/>
      <c r="J26" s="219">
        <v>-1428</v>
      </c>
    </row>
    <row r="27" spans="2:11" ht="14.1" customHeight="1" x14ac:dyDescent="0.2">
      <c r="B27" s="327" t="s">
        <v>622</v>
      </c>
      <c r="C27" s="154"/>
      <c r="D27" s="219">
        <v>-1515</v>
      </c>
      <c r="E27" s="219"/>
      <c r="F27" s="219">
        <v>-2820</v>
      </c>
      <c r="G27" s="52"/>
      <c r="H27" s="219">
        <v>-1515</v>
      </c>
      <c r="I27" s="219"/>
      <c r="J27" s="219">
        <v>-2181</v>
      </c>
    </row>
    <row r="28" spans="2:11" ht="14.1" hidden="1" customHeight="1" x14ac:dyDescent="0.2">
      <c r="B28" s="327" t="s">
        <v>623</v>
      </c>
      <c r="C28" s="154"/>
      <c r="D28" s="219">
        <v>0</v>
      </c>
      <c r="E28" s="219"/>
      <c r="F28" s="219">
        <v>0</v>
      </c>
      <c r="G28" s="52"/>
      <c r="H28" s="219">
        <v>0</v>
      </c>
      <c r="I28" s="219"/>
      <c r="J28" s="219">
        <v>0</v>
      </c>
    </row>
    <row r="29" spans="2:11" ht="13.7" customHeight="1" x14ac:dyDescent="0.2">
      <c r="B29" s="327" t="s">
        <v>624</v>
      </c>
      <c r="C29" s="154"/>
      <c r="D29" s="219">
        <v>-16403</v>
      </c>
      <c r="E29" s="219"/>
      <c r="F29" s="219">
        <v>-13350</v>
      </c>
      <c r="G29" s="52"/>
      <c r="H29" s="219">
        <v>-14875.565399999999</v>
      </c>
      <c r="I29" s="219"/>
      <c r="J29" s="219">
        <v>-13069</v>
      </c>
    </row>
    <row r="30" spans="2:11" ht="13.7" customHeight="1" x14ac:dyDescent="0.2">
      <c r="B30" s="327" t="s">
        <v>625</v>
      </c>
      <c r="C30" s="154"/>
      <c r="D30" s="209">
        <v>104</v>
      </c>
      <c r="E30" s="209"/>
      <c r="F30" s="209">
        <v>15</v>
      </c>
      <c r="G30" s="52"/>
      <c r="H30" s="219">
        <v>104</v>
      </c>
      <c r="I30" s="209"/>
      <c r="J30" s="219">
        <v>15</v>
      </c>
    </row>
    <row r="31" spans="2:11" ht="14.1" customHeight="1" x14ac:dyDescent="0.2">
      <c r="B31" s="327" t="s">
        <v>626</v>
      </c>
      <c r="C31" s="154"/>
      <c r="D31" s="209">
        <v>133</v>
      </c>
      <c r="E31" s="209"/>
      <c r="F31" s="209">
        <v>44</v>
      </c>
      <c r="G31" s="327"/>
      <c r="H31" s="219">
        <v>133</v>
      </c>
      <c r="I31" s="209"/>
      <c r="J31" s="219">
        <v>44</v>
      </c>
    </row>
    <row r="32" spans="2:11" ht="14.1" hidden="1" customHeight="1" x14ac:dyDescent="0.2">
      <c r="B32" s="327" t="s">
        <v>627</v>
      </c>
      <c r="C32" s="154"/>
      <c r="D32" s="209">
        <v>0</v>
      </c>
      <c r="E32" s="209"/>
      <c r="F32" s="209">
        <v>0</v>
      </c>
      <c r="G32" s="52"/>
      <c r="H32" s="219">
        <v>0</v>
      </c>
      <c r="I32" s="209"/>
      <c r="J32" s="219">
        <v>0</v>
      </c>
    </row>
    <row r="33" spans="2:10" ht="13.7" hidden="1" customHeight="1" x14ac:dyDescent="0.2">
      <c r="B33" s="183" t="s">
        <v>628</v>
      </c>
      <c r="C33" s="154"/>
      <c r="D33" s="209">
        <v>0</v>
      </c>
      <c r="E33" s="209"/>
      <c r="F33" s="209">
        <v>0</v>
      </c>
      <c r="G33" s="52"/>
      <c r="H33" s="219">
        <v>0</v>
      </c>
      <c r="I33" s="209"/>
      <c r="J33" s="219">
        <v>0</v>
      </c>
    </row>
    <row r="34" spans="2:10" ht="14.1" hidden="1" customHeight="1" x14ac:dyDescent="0.2">
      <c r="B34" s="327" t="s">
        <v>629</v>
      </c>
      <c r="C34" s="154"/>
      <c r="D34" s="219">
        <v>0</v>
      </c>
      <c r="E34" s="219"/>
      <c r="F34" s="219">
        <v>0</v>
      </c>
      <c r="G34" s="52"/>
      <c r="H34" s="219">
        <v>0</v>
      </c>
      <c r="I34" s="219"/>
      <c r="J34" s="219">
        <v>0</v>
      </c>
    </row>
    <row r="35" spans="2:10" ht="13.7" hidden="1" customHeight="1" x14ac:dyDescent="0.2">
      <c r="B35" s="327" t="s">
        <v>630</v>
      </c>
      <c r="C35" s="154"/>
      <c r="D35" s="219">
        <v>0</v>
      </c>
      <c r="E35" s="219"/>
      <c r="F35" s="219">
        <v>0</v>
      </c>
      <c r="G35" s="52"/>
      <c r="H35" s="219">
        <v>0</v>
      </c>
      <c r="I35" s="219"/>
      <c r="J35" s="219">
        <v>0</v>
      </c>
    </row>
    <row r="36" spans="2:10" ht="14.1" customHeight="1" x14ac:dyDescent="0.2">
      <c r="B36" s="289" t="s">
        <v>1439</v>
      </c>
      <c r="C36" s="332"/>
      <c r="D36" s="207">
        <f>SUM(D25:D35)</f>
        <v>-17646</v>
      </c>
      <c r="E36" s="219"/>
      <c r="F36" s="207">
        <f>SUM(F25:F35)</f>
        <v>-16111</v>
      </c>
      <c r="G36" s="52"/>
      <c r="H36" s="207">
        <f>SUM(H25:H35)</f>
        <v>-16118.565399999999</v>
      </c>
      <c r="I36" s="219"/>
      <c r="J36" s="207">
        <f>SUM(J25:J35)</f>
        <v>-16619</v>
      </c>
    </row>
    <row r="37" spans="2:10" ht="14.1" customHeight="1" x14ac:dyDescent="0.2">
      <c r="B37" s="289" t="s">
        <v>631</v>
      </c>
      <c r="C37" s="332"/>
      <c r="D37" s="219"/>
      <c r="E37" s="219"/>
      <c r="F37" s="219"/>
      <c r="G37" s="52"/>
      <c r="H37" s="219"/>
      <c r="I37" s="219"/>
      <c r="J37" s="219"/>
    </row>
    <row r="38" spans="2:10" ht="14.1" customHeight="1" x14ac:dyDescent="0.2">
      <c r="B38" s="183" t="s">
        <v>602</v>
      </c>
      <c r="C38" s="154"/>
      <c r="D38" s="219">
        <v>625</v>
      </c>
      <c r="E38" s="219"/>
      <c r="F38" s="219">
        <v>2162</v>
      </c>
      <c r="G38" s="52"/>
      <c r="H38" s="219">
        <v>625</v>
      </c>
      <c r="I38" s="219"/>
      <c r="J38" s="219">
        <v>2162</v>
      </c>
    </row>
    <row r="39" spans="2:10" ht="14.1" hidden="1" customHeight="1" x14ac:dyDescent="0.2">
      <c r="B39" s="183" t="s">
        <v>603</v>
      </c>
      <c r="C39" s="154"/>
      <c r="D39" s="219">
        <v>0</v>
      </c>
      <c r="E39" s="219"/>
      <c r="F39" s="219">
        <v>0</v>
      </c>
      <c r="G39" s="52"/>
      <c r="H39" s="219">
        <v>0</v>
      </c>
      <c r="I39" s="219"/>
      <c r="J39" s="219">
        <v>0</v>
      </c>
    </row>
    <row r="40" spans="2:10" ht="14.1" customHeight="1" x14ac:dyDescent="0.2">
      <c r="B40" s="183" t="s">
        <v>632</v>
      </c>
      <c r="C40" s="154"/>
      <c r="D40" s="219">
        <v>-1823</v>
      </c>
      <c r="E40" s="219"/>
      <c r="F40" s="219">
        <v>-1823</v>
      </c>
      <c r="G40" s="52"/>
      <c r="H40" s="219">
        <v>-1823</v>
      </c>
      <c r="I40" s="219"/>
      <c r="J40" s="219">
        <v>-1823</v>
      </c>
    </row>
    <row r="41" spans="2:10" ht="14.1" hidden="1" customHeight="1" x14ac:dyDescent="0.2">
      <c r="B41" s="183" t="s">
        <v>633</v>
      </c>
      <c r="C41" s="154"/>
      <c r="D41" s="219">
        <v>0</v>
      </c>
      <c r="E41" s="219"/>
      <c r="F41" s="219">
        <v>0</v>
      </c>
      <c r="G41" s="52"/>
      <c r="H41" s="219">
        <v>0</v>
      </c>
      <c r="I41" s="219"/>
      <c r="J41" s="219">
        <v>0</v>
      </c>
    </row>
    <row r="42" spans="2:10" ht="14.1" hidden="1" customHeight="1" x14ac:dyDescent="0.2">
      <c r="B42" s="183" t="s">
        <v>634</v>
      </c>
      <c r="C42" s="154"/>
      <c r="D42" s="219">
        <v>0</v>
      </c>
      <c r="E42" s="219"/>
      <c r="F42" s="219">
        <v>0</v>
      </c>
      <c r="G42" s="52"/>
      <c r="H42" s="219">
        <v>0</v>
      </c>
      <c r="I42" s="219"/>
      <c r="J42" s="219">
        <v>0</v>
      </c>
    </row>
    <row r="43" spans="2:10" ht="14.1" hidden="1" customHeight="1" x14ac:dyDescent="0.2">
      <c r="B43" s="183" t="s">
        <v>635</v>
      </c>
      <c r="C43" s="154"/>
      <c r="D43" s="219">
        <v>0</v>
      </c>
      <c r="E43" s="219"/>
      <c r="F43" s="219">
        <v>0</v>
      </c>
      <c r="G43" s="52"/>
      <c r="H43" s="219">
        <v>0</v>
      </c>
      <c r="I43" s="219"/>
      <c r="J43" s="219">
        <v>0</v>
      </c>
    </row>
    <row r="44" spans="2:10" ht="24.6" hidden="1" customHeight="1" x14ac:dyDescent="0.2">
      <c r="B44" s="327" t="s">
        <v>636</v>
      </c>
      <c r="C44" s="154"/>
      <c r="D44" s="219">
        <v>0</v>
      </c>
      <c r="E44" s="219"/>
      <c r="F44" s="219">
        <v>0</v>
      </c>
      <c r="G44" s="52"/>
      <c r="H44" s="219">
        <v>0</v>
      </c>
      <c r="I44" s="219"/>
      <c r="J44" s="219">
        <v>0</v>
      </c>
    </row>
    <row r="45" spans="2:10" s="222" customFormat="1" ht="13.7" customHeight="1" x14ac:dyDescent="0.2">
      <c r="B45" s="327" t="s">
        <v>637</v>
      </c>
      <c r="C45" s="154"/>
      <c r="D45" s="219">
        <v>-974</v>
      </c>
      <c r="E45" s="219"/>
      <c r="F45" s="219">
        <v>-1028</v>
      </c>
      <c r="G45" s="52"/>
      <c r="H45" s="219">
        <v>-974</v>
      </c>
      <c r="I45" s="219"/>
      <c r="J45" s="219">
        <v>-1028</v>
      </c>
    </row>
    <row r="46" spans="2:10" s="222" customFormat="1" ht="13.7" hidden="1" customHeight="1" x14ac:dyDescent="0.2">
      <c r="B46" s="327" t="s">
        <v>638</v>
      </c>
      <c r="C46" s="154"/>
      <c r="D46" s="219">
        <v>0</v>
      </c>
      <c r="E46" s="219"/>
      <c r="F46" s="219">
        <v>0</v>
      </c>
      <c r="G46" s="52"/>
      <c r="H46" s="219">
        <v>0</v>
      </c>
      <c r="I46" s="219"/>
      <c r="J46" s="219">
        <v>0</v>
      </c>
    </row>
    <row r="47" spans="2:10" ht="13.7" hidden="1" customHeight="1" x14ac:dyDescent="0.2">
      <c r="B47" s="183" t="s">
        <v>639</v>
      </c>
      <c r="C47" s="154"/>
      <c r="D47" s="219">
        <v>0</v>
      </c>
      <c r="E47" s="219"/>
      <c r="F47" s="219">
        <v>0</v>
      </c>
      <c r="G47" s="52"/>
      <c r="H47" s="219">
        <v>0</v>
      </c>
      <c r="I47" s="219"/>
      <c r="J47" s="219">
        <v>0</v>
      </c>
    </row>
    <row r="48" spans="2:10" ht="24.75" hidden="1" customHeight="1" x14ac:dyDescent="0.2">
      <c r="B48" s="327" t="s">
        <v>640</v>
      </c>
      <c r="C48" s="154"/>
      <c r="D48" s="219">
        <v>0</v>
      </c>
      <c r="E48" s="219"/>
      <c r="F48" s="219">
        <v>0</v>
      </c>
      <c r="G48" s="52"/>
      <c r="H48" s="219">
        <v>0</v>
      </c>
      <c r="I48" s="219"/>
      <c r="J48" s="219">
        <v>0</v>
      </c>
    </row>
    <row r="49" spans="2:10" ht="14.1" customHeight="1" x14ac:dyDescent="0.2">
      <c r="B49" s="183" t="s">
        <v>1416</v>
      </c>
      <c r="C49" s="154"/>
      <c r="D49" s="219">
        <v>-300</v>
      </c>
      <c r="E49" s="219"/>
      <c r="F49" s="219">
        <v>-158</v>
      </c>
      <c r="G49" s="52"/>
      <c r="H49" s="219">
        <v>-300</v>
      </c>
      <c r="I49" s="219"/>
      <c r="J49" s="219">
        <v>-158</v>
      </c>
    </row>
    <row r="50" spans="2:10" ht="14.1" hidden="1" customHeight="1" x14ac:dyDescent="0.2">
      <c r="B50" s="183" t="s">
        <v>641</v>
      </c>
      <c r="C50" s="154"/>
      <c r="D50" s="219">
        <v>0</v>
      </c>
      <c r="E50" s="219"/>
      <c r="F50" s="219">
        <v>0</v>
      </c>
      <c r="G50" s="52"/>
      <c r="H50" s="219">
        <v>0</v>
      </c>
      <c r="I50" s="219"/>
      <c r="J50" s="219">
        <v>0</v>
      </c>
    </row>
    <row r="51" spans="2:10" ht="14.1" hidden="1" customHeight="1" x14ac:dyDescent="0.2">
      <c r="B51" s="183" t="s">
        <v>642</v>
      </c>
      <c r="C51" s="154"/>
      <c r="D51" s="219">
        <v>0</v>
      </c>
      <c r="E51" s="219"/>
      <c r="F51" s="219">
        <v>0</v>
      </c>
      <c r="G51" s="52"/>
      <c r="H51" s="219">
        <v>0</v>
      </c>
      <c r="I51" s="219"/>
      <c r="J51" s="219">
        <v>0</v>
      </c>
    </row>
    <row r="52" spans="2:10" ht="14.1" hidden="1" customHeight="1" x14ac:dyDescent="0.2">
      <c r="B52" s="183" t="s">
        <v>643</v>
      </c>
      <c r="C52" s="154"/>
      <c r="D52" s="219">
        <v>0</v>
      </c>
      <c r="E52" s="219"/>
      <c r="F52" s="219">
        <v>0</v>
      </c>
      <c r="G52" s="52"/>
      <c r="H52" s="219">
        <v>0</v>
      </c>
      <c r="I52" s="219"/>
      <c r="J52" s="219">
        <v>0</v>
      </c>
    </row>
    <row r="53" spans="2:10" ht="14.1" customHeight="1" x14ac:dyDescent="0.2">
      <c r="B53" s="289" t="s">
        <v>1437</v>
      </c>
      <c r="C53" s="332"/>
      <c r="D53" s="207">
        <f>SUM(D38:D52)</f>
        <v>-2472</v>
      </c>
      <c r="E53" s="219"/>
      <c r="F53" s="207">
        <f>SUM(F38:F52)</f>
        <v>-847</v>
      </c>
      <c r="G53" s="52"/>
      <c r="H53" s="207">
        <f>SUM(H38:H52)</f>
        <v>-2472</v>
      </c>
      <c r="I53" s="219"/>
      <c r="J53" s="207">
        <f>SUM(J38:J52)</f>
        <v>-847</v>
      </c>
    </row>
    <row r="54" spans="2:10" ht="14.1" customHeight="1" x14ac:dyDescent="0.2">
      <c r="B54" s="289" t="s">
        <v>1438</v>
      </c>
      <c r="C54" s="332"/>
      <c r="D54" s="207">
        <f>D23+D36+D53</f>
        <v>880.28618705956615</v>
      </c>
      <c r="E54" s="219"/>
      <c r="F54" s="207">
        <f>F23+F36+F53</f>
        <v>16187.029999999999</v>
      </c>
      <c r="G54" s="52"/>
      <c r="H54" s="207">
        <f>H23+H36+H53</f>
        <v>1877.2861870595661</v>
      </c>
      <c r="I54" s="219"/>
      <c r="J54" s="207">
        <f>J23+J36+J53</f>
        <v>14876.030000000006</v>
      </c>
    </row>
    <row r="55" spans="2:10" ht="14.1" customHeight="1" x14ac:dyDescent="0.2">
      <c r="B55" s="289" t="s">
        <v>644</v>
      </c>
      <c r="C55" s="332"/>
      <c r="D55" s="220">
        <f>F61</f>
        <v>68384.572270000004</v>
      </c>
      <c r="E55" s="219"/>
      <c r="F55" s="220">
        <v>52443.542269999998</v>
      </c>
      <c r="G55" s="52"/>
      <c r="H55" s="220">
        <f>J61</f>
        <v>67073.572270000004</v>
      </c>
      <c r="I55" s="219"/>
      <c r="J55" s="219">
        <v>52443.542269999998</v>
      </c>
    </row>
    <row r="56" spans="2:10" s="222" customFormat="1" ht="14.1" hidden="1" customHeight="1" x14ac:dyDescent="0.2">
      <c r="B56" s="147" t="s">
        <v>542</v>
      </c>
      <c r="C56" s="332"/>
      <c r="D56" s="219"/>
      <c r="E56" s="219"/>
      <c r="F56" s="219">
        <v>0</v>
      </c>
      <c r="G56" s="219"/>
      <c r="H56" s="219"/>
      <c r="I56" s="219"/>
      <c r="J56" s="219"/>
    </row>
    <row r="57" spans="2:10" s="222" customFormat="1" ht="14.1" hidden="1" customHeight="1" x14ac:dyDescent="0.2">
      <c r="B57" s="289" t="s">
        <v>645</v>
      </c>
      <c r="C57" s="332"/>
      <c r="D57" s="239">
        <f>SUM(D55:D56)</f>
        <v>68384.572270000004</v>
      </c>
      <c r="E57" s="155"/>
      <c r="F57" s="239">
        <f>SUM(F55:F56)</f>
        <v>52443.542269999998</v>
      </c>
      <c r="G57" s="239"/>
      <c r="H57" s="239">
        <f>SUM(H55:H56)</f>
        <v>67073.572270000004</v>
      </c>
      <c r="I57" s="239"/>
      <c r="J57" s="239">
        <f>SUM(J55:J56)</f>
        <v>52443.542269999998</v>
      </c>
    </row>
    <row r="58" spans="2:10" ht="14.1" hidden="1" customHeight="1" x14ac:dyDescent="0.2">
      <c r="B58" s="289" t="s">
        <v>646</v>
      </c>
      <c r="C58" s="154"/>
      <c r="D58" s="220">
        <v>0</v>
      </c>
      <c r="E58" s="219"/>
      <c r="F58" s="220">
        <v>0</v>
      </c>
      <c r="G58" s="52"/>
      <c r="H58" s="220"/>
      <c r="I58" s="219"/>
      <c r="J58" s="220"/>
    </row>
    <row r="59" spans="2:10" ht="24.6" hidden="1" customHeight="1" x14ac:dyDescent="0.2">
      <c r="B59" s="327" t="s">
        <v>647</v>
      </c>
      <c r="C59" s="154"/>
      <c r="D59" s="219">
        <v>0</v>
      </c>
      <c r="E59" s="219"/>
      <c r="F59" s="219">
        <v>0</v>
      </c>
      <c r="G59" s="219"/>
      <c r="H59" s="219">
        <v>0</v>
      </c>
      <c r="I59" s="219"/>
      <c r="J59" s="219">
        <v>0</v>
      </c>
    </row>
    <row r="60" spans="2:10" ht="13.7" customHeight="1" x14ac:dyDescent="0.2">
      <c r="B60" s="327" t="s">
        <v>1417</v>
      </c>
      <c r="C60" s="154"/>
      <c r="D60" s="219">
        <v>-4</v>
      </c>
      <c r="E60" s="219"/>
      <c r="F60" s="219">
        <v>-246</v>
      </c>
      <c r="G60" s="219"/>
      <c r="H60" s="219">
        <v>-4</v>
      </c>
      <c r="I60" s="219"/>
      <c r="J60" s="219">
        <v>-246</v>
      </c>
    </row>
    <row r="61" spans="2:10" ht="14.1" customHeight="1" thickBot="1" x14ac:dyDescent="0.25">
      <c r="B61" s="289" t="s">
        <v>648</v>
      </c>
      <c r="C61" s="156">
        <f>CCE!A14</f>
        <v>23.1</v>
      </c>
      <c r="D61" s="206">
        <f>SUM(D54,D57:D60)</f>
        <v>69260.85845705957</v>
      </c>
      <c r="E61" s="219"/>
      <c r="F61" s="206">
        <f>SUM(F54,F57:F60)</f>
        <v>68384.572270000004</v>
      </c>
      <c r="G61" s="52"/>
      <c r="H61" s="206">
        <f>SUM(H54,H57:H60)</f>
        <v>68946.85845705957</v>
      </c>
      <c r="I61" s="219"/>
      <c r="J61" s="206">
        <f>SUM(J54,J57:J60)</f>
        <v>67073.572270000004</v>
      </c>
    </row>
    <row r="62" spans="2:10" ht="14.1" customHeight="1" thickTop="1" x14ac:dyDescent="0.2">
      <c r="D62" s="222"/>
      <c r="E62" s="219"/>
      <c r="F62" s="222"/>
      <c r="G62" s="52"/>
      <c r="H62" s="222"/>
      <c r="I62" s="219"/>
      <c r="J62" s="222"/>
    </row>
  </sheetData>
  <customSheetViews>
    <customSheetView guid="{EDC1BD6E-863A-4FC6-A3A9-F32079F4F0C1}">
      <selection activeCell="J34" sqref="J34"/>
      <pageMargins left="0" right="0" top="0" bottom="0" header="0" footer="0"/>
      <pageSetup paperSize="9" orientation="portrait" verticalDpi="0" r:id="rId1"/>
      <headerFooter>
        <oddHeader>&amp;LINSERT YOUR NHS Foundation Trust&amp;RStatement of accounts 2014/15</oddHeader>
      </headerFooter>
    </customSheetView>
  </customSheetViews>
  <mergeCells count="2">
    <mergeCell ref="D4:F4"/>
    <mergeCell ref="H4:J4"/>
  </mergeCells>
  <pageMargins left="0.70866141732283472" right="0.70866141732283472" top="0.74803149606299213" bottom="0.74803149606299213" header="0.31496062992125984" footer="0.31496062992125984"/>
  <pageSetup paperSize="9" scale="96" fitToHeight="0" orientation="portrait" verticalDpi="0" r:id="rId2"/>
  <headerFooter>
    <oddFooter>&amp;RPage &amp;P of &amp;N</oddFooter>
  </headerFooter>
  <ignoredErrors>
    <ignoredError sqref="D6:J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750AD840E1E74296B75F05B1F21277" ma:contentTypeVersion="2" ma:contentTypeDescription="Create a new document." ma:contentTypeScope="" ma:versionID="cadbdad0a1745f023edb55443f27f1dd">
  <xsd:schema xmlns:xsd="http://www.w3.org/2001/XMLSchema" xmlns:xs="http://www.w3.org/2001/XMLSchema" xmlns:p="http://schemas.microsoft.com/office/2006/metadata/properties" xmlns:ns2="e6bfd022-152f-450c-9654-ae315a7573b9" targetNamespace="http://schemas.microsoft.com/office/2006/metadata/properties" ma:root="true" ma:fieldsID="33201cc69b27d4e2b5be0accd8b855c7" ns2:_="">
    <xsd:import namespace="e6bfd022-152f-450c-9654-ae315a7573b9"/>
    <xsd:element name="properties">
      <xsd:complexType>
        <xsd:sequence>
          <xsd:element name="documentManagement">
            <xsd:complexType>
              <xsd:all>
                <xsd:element ref="ns2:Details" minOccurs="0"/>
                <xsd:element ref="ns2: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bfd022-152f-450c-9654-ae315a7573b9" elementFormDefault="qualified">
    <xsd:import namespace="http://schemas.microsoft.com/office/2006/documentManagement/types"/>
    <xsd:import namespace="http://schemas.microsoft.com/office/infopath/2007/PartnerControls"/>
    <xsd:element name="Details" ma:index="8" nillable="true" ma:displayName="Details" ma:internalName="Details">
      <xsd:simpleType>
        <xsd:restriction base="dms:Note">
          <xsd:maxLength value="255"/>
        </xsd:restriction>
      </xsd:simpleType>
    </xsd:element>
    <xsd:element name="Activity" ma:index="9" nillable="true" ma:displayName="Activity" ma:internalName="Activit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ctivity xmlns="e6bfd022-152f-450c-9654-ae315a7573b9" xsi:nil="true"/>
    <Details xmlns="e6bfd022-152f-450c-9654-ae315a7573b9" xsi:nil="true"/>
  </documentManagement>
</p:properties>
</file>

<file path=customXml/itemProps1.xml><?xml version="1.0" encoding="utf-8"?>
<ds:datastoreItem xmlns:ds="http://schemas.openxmlformats.org/officeDocument/2006/customXml" ds:itemID="{015343D2-AE20-402D-A52F-6CB31BB6B8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bfd022-152f-450c-9654-ae315a7573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7B3EB3-8EE0-4858-9856-B4840427877C}">
  <ds:schemaRefs>
    <ds:schemaRef ds:uri="http://schemas.microsoft.com/sharepoint/v3/contenttype/forms"/>
  </ds:schemaRefs>
</ds:datastoreItem>
</file>

<file path=customXml/itemProps3.xml><?xml version="1.0" encoding="utf-8"?>
<ds:datastoreItem xmlns:ds="http://schemas.openxmlformats.org/officeDocument/2006/customXml" ds:itemID="{E008B93C-4E90-4E53-A98D-5F0501B74D17}">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cf922d0c-7565-4a19-867a-78a71dd2f738"/>
    <ds:schemaRef ds:uri="http://schemas.microsoft.com/office/infopath/2007/PartnerControls"/>
    <ds:schemaRef ds:uri="http://www.w3.org/XML/1998/namespace"/>
    <ds:schemaRef ds:uri="http://purl.org/dc/dcmitype/"/>
    <ds:schemaRef ds:uri="e6bfd022-152f-450c-9654-ae315a7573b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53</vt:i4>
      </vt:variant>
      <vt:variant>
        <vt:lpstr>Named Ranges</vt:lpstr>
      </vt:variant>
      <vt:variant>
        <vt:i4>15</vt:i4>
      </vt:variant>
    </vt:vector>
  </HeadingPairs>
  <TitlesOfParts>
    <vt:vector size="68" baseType="lpstr">
      <vt:lpstr>Guidance</vt:lpstr>
      <vt:lpstr>Settings</vt:lpstr>
      <vt:lpstr>Title</vt:lpstr>
      <vt:lpstr>Foreword (FTs only)</vt:lpstr>
      <vt:lpstr>SOCI</vt:lpstr>
      <vt:lpstr>SoFP</vt:lpstr>
      <vt:lpstr>SoCIE (group)</vt:lpstr>
      <vt:lpstr>SoCIE reserves</vt:lpstr>
      <vt:lpstr>CF</vt:lpstr>
      <vt:lpstr>Acc'g policies 1</vt:lpstr>
      <vt:lpstr>Acc'g policies 2</vt:lpstr>
      <vt:lpstr>Acc'g policies 3</vt:lpstr>
      <vt:lpstr>Acc'g policies 4</vt:lpstr>
      <vt:lpstr>Acc'g policies 5</vt:lpstr>
      <vt:lpstr>Acc'g policies 6</vt:lpstr>
      <vt:lpstr>Acc'g policies 7</vt:lpstr>
      <vt:lpstr>Acc'g policies 8</vt:lpstr>
      <vt:lpstr>Acc'g policies 9</vt:lpstr>
      <vt:lpstr>Operating Segments</vt:lpstr>
      <vt:lpstr>Op Inc</vt:lpstr>
      <vt:lpstr>Op Inc 2</vt:lpstr>
      <vt:lpstr>Op Exp</vt:lpstr>
      <vt:lpstr>Audit &amp; Impair</vt:lpstr>
      <vt:lpstr>Staff</vt:lpstr>
      <vt:lpstr>Pension costs</vt:lpstr>
      <vt:lpstr>Op lease</vt:lpstr>
      <vt:lpstr>Finance &amp; other</vt:lpstr>
      <vt:lpstr>Intangibles (group)</vt:lpstr>
      <vt:lpstr>Intangibles (trust)</vt:lpstr>
      <vt:lpstr>PPE (group)</vt:lpstr>
      <vt:lpstr>PPE 2 (group)</vt:lpstr>
      <vt:lpstr>PPE (trust)</vt:lpstr>
      <vt:lpstr>PPE 2 (trust)</vt:lpstr>
      <vt:lpstr>PPE &amp; Inv Prop</vt:lpstr>
      <vt:lpstr>Inv in assoc &amp; JVs, other inv</vt:lpstr>
      <vt:lpstr>Interests&amp;Inventory</vt:lpstr>
      <vt:lpstr>Receivables</vt:lpstr>
      <vt:lpstr>Receivables 2</vt:lpstr>
      <vt:lpstr>CCE</vt:lpstr>
      <vt:lpstr>Payables</vt:lpstr>
      <vt:lpstr>OL &amp; Borrowings</vt:lpstr>
      <vt:lpstr>Borrowings (group)</vt:lpstr>
      <vt:lpstr>Provisions</vt:lpstr>
      <vt:lpstr>C&amp;O</vt:lpstr>
      <vt:lpstr>FI1</vt:lpstr>
      <vt:lpstr>FI2</vt:lpstr>
      <vt:lpstr>FI3</vt:lpstr>
      <vt:lpstr>L&amp;SP, gifts</vt:lpstr>
      <vt:lpstr>RP, transfers, EARP</vt:lpstr>
      <vt:lpstr>RP, transfers, EARP (2)</vt:lpstr>
      <vt:lpstr>CRL and breakeven duty</vt:lpstr>
      <vt:lpstr>breakeven duty 2</vt:lpstr>
      <vt:lpstr>Staff report tables</vt:lpstr>
      <vt:lpstr>ApprovalDate</vt:lpstr>
      <vt:lpstr>ComparativeFY</vt:lpstr>
      <vt:lpstr>comparativestartyear</vt:lpstr>
      <vt:lpstr>ComparativeYear</vt:lpstr>
      <vt:lpstr>ComparativeYearEnd</vt:lpstr>
      <vt:lpstr>ComparativeYearStart</vt:lpstr>
      <vt:lpstr>CurrentFY</vt:lpstr>
      <vt:lpstr>CurrentYear</vt:lpstr>
      <vt:lpstr>CurrentYearEnd</vt:lpstr>
      <vt:lpstr>CurrentYearStart</vt:lpstr>
      <vt:lpstr>NextFY</vt:lpstr>
      <vt:lpstr>Guidance!Print_Area</vt:lpstr>
      <vt:lpstr>Settings!Print_Area</vt:lpstr>
      <vt:lpstr>SelectedFT</vt:lpstr>
      <vt:lpstr>Status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Eleanor Shirtliff</dc:creator>
  <cp:keywords/>
  <dc:description/>
  <cp:lastModifiedBy>Dharssi, Lubna</cp:lastModifiedBy>
  <cp:revision/>
  <cp:lastPrinted>2022-04-26T09:17:26Z</cp:lastPrinted>
  <dcterms:created xsi:type="dcterms:W3CDTF">2014-10-27T11:17:27Z</dcterms:created>
  <dcterms:modified xsi:type="dcterms:W3CDTF">2022-04-26T09:19:47Z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0x0101004F750AD840E1E74296B75F05B1F21277</vt:lpwstr>
  </property>
  <property fmtid="{D5CDD505-2E9C-101B-9397-08002B2CF9AE}" pid="3" name="_ShortcutWebId">
    <vt:lpwstr/>
  </property>
  <property fmtid="{D5CDD505-2E9C-101B-9397-08002B2CF9AE}" pid="4" name="_ShortcutUniqueId">
    <vt:lpwstr/>
  </property>
  <property fmtid="{D5CDD505-2E9C-101B-9397-08002B2CF9AE}" pid="5" name="_ShortcutSiteId">
    <vt:lpwstr/>
  </property>
  <property fmtid="{D5CDD505-2E9C-101B-9397-08002B2CF9AE}" pid="6" name="_ShortcutUrl">
    <vt:lpwstr/>
  </property>
  <property fmtid="{D5CDD505-2E9C-101B-9397-08002B2CF9AE}" pid="7" name="_ExtendedDescription">
    <vt:lpwstr/>
  </property>
</Properties>
</file>